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90" windowWidth="24090" windowHeight="13305" tabRatio="311"/>
  </bookViews>
  <sheets>
    <sheet name="FILESTAT" sheetId="2" r:id="rId1"/>
    <sheet name="FILESTAT Summary" sheetId="3" r:id="rId2"/>
    <sheet name="Work Days" sheetId="16" r:id="rId3"/>
    <sheet name="Criteria" sheetId="4928" r:id="rId4"/>
  </sheets>
  <definedNames>
    <definedName name="_xlnm._FilterDatabase" localSheetId="0" hidden="1">FILESTAT!$A$3:$DV$815</definedName>
    <definedName name="bfy1988_">Criteria!$BM$12:$BM$13</definedName>
    <definedName name="bfy1989_">Criteria!$BM$15:$BM$16</definedName>
    <definedName name="bfy1990_">Criteria!$BM$18:$BM$19</definedName>
    <definedName name="bfy1991_">Criteria!$BM$21:$BM$22</definedName>
    <definedName name="bfy1992_">Criteria!$BM$24:$BM$25</definedName>
    <definedName name="bfy1993_">Criteria!$BM$27:$BM$28</definedName>
    <definedName name="bfy1994_">Criteria!$BM$30:$BM$31</definedName>
    <definedName name="bfy1995_">Criteria!$BM$33:$BM$34</definedName>
    <definedName name="bfy1996_">Criteria!$BM$36:$BM$37</definedName>
    <definedName name="bfy1997_">Criteria!$BM$39:$BM$40</definedName>
    <definedName name="bfy1998_">Criteria!$BM$42:$BM$43</definedName>
    <definedName name="bfy1999_">Criteria!$BM$45:$BM$46</definedName>
    <definedName name="bfy2000_">Criteria!$BM$48:$BM$49</definedName>
    <definedName name="bfy2001_">Criteria!$BM$51:$BM$52</definedName>
    <definedName name="bfy2002_">Criteria!$BM$54:$BM$55</definedName>
    <definedName name="bfy2003_">Criteria!$BM$57:$BM$58</definedName>
    <definedName name="bfy2004_">Criteria!$BM$60:$BM$61</definedName>
    <definedName name="bfy2005_">Criteria!$BM$63:$BM$64</definedName>
    <definedName name="bfy2006_">Criteria!$BM$66:$BM$67</definedName>
    <definedName name="bfy2007_">Criteria!$BM$69:$BM$70</definedName>
    <definedName name="bfy2008_">Criteria!$BM$72:$BM$73</definedName>
    <definedName name="bfy2009_">Criteria!$BM$75:$BM$76</definedName>
    <definedName name="bfy2010_">Criteria!$BM$78:$BM$79</definedName>
    <definedName name="bfy2011_">Criteria!$BM$81:$BM$82</definedName>
    <definedName name="bfy2012_">Criteria!$BM$84:$BM$85</definedName>
    <definedName name="bfy2013_">Criteria!$BM$87:$BM$88</definedName>
    <definedName name="bfy2014_">Criteria!$BM$90:$BM$91</definedName>
    <definedName name="bfy2015_">Criteria!$BM$93:$BM$94</definedName>
    <definedName name="bfy2016_">Criteria!$BM$96:$BM$97</definedName>
    <definedName name="bfy2017_">Criteria!$BM$99:$BM$100</definedName>
    <definedName name="bfy2018_">Criteria!$BM$102:$BM$103</definedName>
    <definedName name="bfy2019_">Criteria!$BM$105:$BM$106</definedName>
    <definedName name="bfy2020_">Criteria!$BM$108:$BM$109</definedName>
    <definedName name="_xlnm.Criteria">Criteria!$A$3:$BT$4</definedName>
    <definedName name="_xlnm.Database">FILESTAT!$A$3:$DV$781</definedName>
    <definedName name="_xlnm.Print_Area" localSheetId="1">'FILESTAT Summary'!$A$43:$DZ$79</definedName>
    <definedName name="_xlnm.Print_Titles" localSheetId="0">FILESTAT!$A:$A,FILESTAT!$1:$3</definedName>
    <definedName name="_xlnm.Print_Titles" localSheetId="1">'FILESTAT Summary'!$A:$A,'FILESTAT Summary'!$43:$45</definedName>
  </definedNames>
  <calcPr calcId="125725"/>
</workbook>
</file>

<file path=xl/calcChain.xml><?xml version="1.0" encoding="utf-8"?>
<calcChain xmlns="http://schemas.openxmlformats.org/spreadsheetml/2006/main">
  <c r="DY433" i="2"/>
  <c r="DW433"/>
  <c r="DY432"/>
  <c r="DW432"/>
  <c r="DY431"/>
  <c r="DW431"/>
  <c r="DY430"/>
  <c r="DW430"/>
  <c r="DY429"/>
  <c r="DW429"/>
  <c r="DY428"/>
  <c r="DW428"/>
  <c r="DY427"/>
  <c r="DW427"/>
  <c r="DY426"/>
  <c r="DW426"/>
  <c r="DY425"/>
  <c r="DW425"/>
  <c r="DY424"/>
  <c r="DW424"/>
  <c r="DY423"/>
  <c r="DW423"/>
  <c r="DY422"/>
  <c r="DW422"/>
  <c r="DY421"/>
  <c r="DW421"/>
  <c r="DY420"/>
  <c r="DW420"/>
  <c r="DY419"/>
  <c r="DW419"/>
  <c r="DY418"/>
  <c r="DW418"/>
  <c r="DY417"/>
  <c r="DW417"/>
  <c r="DY416"/>
  <c r="DW416"/>
  <c r="DY415"/>
  <c r="DW415"/>
  <c r="DY414"/>
  <c r="DW414"/>
  <c r="DY413"/>
  <c r="DW413"/>
  <c r="DY412"/>
  <c r="DW412"/>
  <c r="DY411"/>
  <c r="DW411"/>
  <c r="DY410"/>
  <c r="DY434" s="1"/>
  <c r="DW410"/>
  <c r="DY464"/>
  <c r="DW464"/>
  <c r="DY463"/>
  <c r="DW463"/>
  <c r="DY462"/>
  <c r="DW462"/>
  <c r="DY461"/>
  <c r="DW461"/>
  <c r="DY460"/>
  <c r="DW460"/>
  <c r="DY459"/>
  <c r="DW459"/>
  <c r="DY458"/>
  <c r="DW458"/>
  <c r="DY457"/>
  <c r="DW457"/>
  <c r="DY456"/>
  <c r="DW456"/>
  <c r="DY455"/>
  <c r="DW455"/>
  <c r="DY454"/>
  <c r="DW454"/>
  <c r="DY453"/>
  <c r="DW453"/>
  <c r="DY452"/>
  <c r="DW452"/>
  <c r="DY451"/>
  <c r="DW451"/>
  <c r="DY450"/>
  <c r="DW450"/>
  <c r="DY449"/>
  <c r="DW449"/>
  <c r="DY448"/>
  <c r="DW448"/>
  <c r="DY447"/>
  <c r="DW447"/>
  <c r="DY446"/>
  <c r="DW446"/>
  <c r="DY445"/>
  <c r="DW445"/>
  <c r="DY444"/>
  <c r="DW444"/>
  <c r="DY443"/>
  <c r="DY465" s="1"/>
  <c r="DW443"/>
  <c r="DY442"/>
  <c r="DW442"/>
  <c r="DY441"/>
  <c r="DW441"/>
  <c r="DW495"/>
  <c r="DW494"/>
  <c r="DW493"/>
  <c r="DW492"/>
  <c r="DW491"/>
  <c r="DW490"/>
  <c r="DW489"/>
  <c r="DW488"/>
  <c r="DW487"/>
  <c r="DW486"/>
  <c r="DW485"/>
  <c r="DW484"/>
  <c r="DW483"/>
  <c r="DW482"/>
  <c r="DW481"/>
  <c r="DW480"/>
  <c r="DW479"/>
  <c r="DW478"/>
  <c r="DW477"/>
  <c r="DW476"/>
  <c r="DW475"/>
  <c r="DW474"/>
  <c r="DW473"/>
  <c r="DW472"/>
  <c r="DY495"/>
  <c r="DY494"/>
  <c r="DY493"/>
  <c r="DY492"/>
  <c r="DY491"/>
  <c r="DY490"/>
  <c r="DY489"/>
  <c r="DY488"/>
  <c r="DY487"/>
  <c r="DY486"/>
  <c r="DY485"/>
  <c r="DY484"/>
  <c r="DY483"/>
  <c r="DY482"/>
  <c r="DY481"/>
  <c r="DY480"/>
  <c r="DY479"/>
  <c r="DY478"/>
  <c r="DY477"/>
  <c r="DY476"/>
  <c r="DY475"/>
  <c r="DY474"/>
  <c r="DY473"/>
  <c r="DY472"/>
  <c r="DY496" s="1"/>
  <c r="DY527"/>
  <c r="DZ527" s="1"/>
  <c r="DY558"/>
  <c r="DZ558" s="1"/>
  <c r="BH772"/>
  <c r="BH770"/>
  <c r="AY773"/>
  <c r="AY782"/>
  <c r="BO124" i="3"/>
  <c r="BC124"/>
  <c r="AQ124"/>
  <c r="AP124"/>
  <c r="AO124"/>
  <c r="A124"/>
  <c r="DU110"/>
  <c r="DT110"/>
  <c r="DS110"/>
  <c r="DQ110"/>
  <c r="DP110"/>
  <c r="DO110"/>
  <c r="DN110"/>
  <c r="DM110"/>
  <c r="DL110"/>
  <c r="DJ110"/>
  <c r="DI110"/>
  <c r="DH110"/>
  <c r="DG110"/>
  <c r="DF110"/>
  <c r="DE110"/>
  <c r="DD110"/>
  <c r="DC110"/>
  <c r="DB110"/>
  <c r="DA110"/>
  <c r="CZ110"/>
  <c r="CY110"/>
  <c r="CW110"/>
  <c r="CV110"/>
  <c r="CU110"/>
  <c r="CT110"/>
  <c r="CS110"/>
  <c r="CQ110"/>
  <c r="CO110"/>
  <c r="CN110"/>
  <c r="CM110"/>
  <c r="CJ110"/>
  <c r="CI110"/>
  <c r="CH110"/>
  <c r="CG110"/>
  <c r="CF110"/>
  <c r="CE110"/>
  <c r="CD110"/>
  <c r="CB110"/>
  <c r="CA110"/>
  <c r="BZ110"/>
  <c r="BY110"/>
  <c r="BX110"/>
  <c r="BW110"/>
  <c r="BV110"/>
  <c r="BP110"/>
  <c r="BO110"/>
  <c r="BM110"/>
  <c r="BI110"/>
  <c r="BG110"/>
  <c r="BF110"/>
  <c r="BE110"/>
  <c r="BC110"/>
  <c r="BB110"/>
  <c r="BA110"/>
  <c r="AV110"/>
  <c r="AU110"/>
  <c r="AT110"/>
  <c r="AS110"/>
  <c r="AR110"/>
  <c r="AP110"/>
  <c r="AO110"/>
  <c r="AM110"/>
  <c r="AL110"/>
  <c r="AJ110"/>
  <c r="AI110"/>
  <c r="AH110"/>
  <c r="AG110"/>
  <c r="AD110"/>
  <c r="AC110"/>
  <c r="AA110"/>
  <c r="Z110"/>
  <c r="X110"/>
  <c r="W110"/>
  <c r="U110"/>
  <c r="T110"/>
  <c r="R110"/>
  <c r="Q110"/>
  <c r="P110"/>
  <c r="O110"/>
  <c r="N110"/>
  <c r="M110"/>
  <c r="L110"/>
  <c r="K110"/>
  <c r="J110"/>
  <c r="I110"/>
  <c r="H110"/>
  <c r="G110"/>
  <c r="F110"/>
  <c r="E110"/>
  <c r="D110"/>
  <c r="C110"/>
  <c r="CR31"/>
  <c r="CR30"/>
  <c r="CR29"/>
  <c r="CR28"/>
  <c r="CR27"/>
  <c r="CR26"/>
  <c r="CR25"/>
  <c r="CR24"/>
  <c r="CR23"/>
  <c r="CR22"/>
  <c r="CR21"/>
  <c r="CR20"/>
  <c r="CR19"/>
  <c r="CR18"/>
  <c r="CR17"/>
  <c r="CR16"/>
  <c r="CR15"/>
  <c r="CR14"/>
  <c r="CR13"/>
  <c r="CR12"/>
  <c r="CR11"/>
  <c r="CR10"/>
  <c r="CR9"/>
  <c r="CR8"/>
  <c r="CR7"/>
  <c r="CR6"/>
  <c r="CR5"/>
  <c r="CK31"/>
  <c r="CK30"/>
  <c r="CK29"/>
  <c r="CK28"/>
  <c r="CK27"/>
  <c r="CK26"/>
  <c r="CK25"/>
  <c r="CK24"/>
  <c r="CK23"/>
  <c r="CK22"/>
  <c r="CK21"/>
  <c r="CK20"/>
  <c r="CK19"/>
  <c r="CK18"/>
  <c r="CK17"/>
  <c r="CK16"/>
  <c r="CK15"/>
  <c r="CK14"/>
  <c r="CK13"/>
  <c r="CK12"/>
  <c r="CK11"/>
  <c r="CK10"/>
  <c r="CK9"/>
  <c r="CK8"/>
  <c r="CK7"/>
  <c r="CK6"/>
  <c r="CK5"/>
  <c r="CC31"/>
  <c r="CC30"/>
  <c r="CC29"/>
  <c r="CC28"/>
  <c r="CC27"/>
  <c r="CC26"/>
  <c r="CC25"/>
  <c r="CC24"/>
  <c r="CC23"/>
  <c r="CC22"/>
  <c r="CC21"/>
  <c r="CC20"/>
  <c r="CC19"/>
  <c r="CC18"/>
  <c r="CC17"/>
  <c r="CC16"/>
  <c r="CC15"/>
  <c r="CC14"/>
  <c r="CC13"/>
  <c r="CC12"/>
  <c r="CC11"/>
  <c r="CC10"/>
  <c r="CC9"/>
  <c r="CC8"/>
  <c r="CC7"/>
  <c r="CC6"/>
  <c r="CC5"/>
  <c r="DU31"/>
  <c r="DU124" s="1"/>
  <c r="DT31"/>
  <c r="DT124" s="1"/>
  <c r="DS31"/>
  <c r="DS124" s="1"/>
  <c r="DQ31"/>
  <c r="DQ124" s="1"/>
  <c r="DP31"/>
  <c r="DP124" s="1"/>
  <c r="DO31"/>
  <c r="DO124" s="1"/>
  <c r="DN31"/>
  <c r="DN124" s="1"/>
  <c r="DM31"/>
  <c r="DM124" s="1"/>
  <c r="DL31"/>
  <c r="DL124" s="1"/>
  <c r="DK31"/>
  <c r="DJ31"/>
  <c r="DJ124" s="1"/>
  <c r="DI31"/>
  <c r="DI124" s="1"/>
  <c r="DH31"/>
  <c r="DH124" s="1"/>
  <c r="DG31"/>
  <c r="DG124" s="1"/>
  <c r="DF31"/>
  <c r="DF124" s="1"/>
  <c r="DE31"/>
  <c r="DE124" s="1"/>
  <c r="DD31"/>
  <c r="DD124" s="1"/>
  <c r="DC31"/>
  <c r="DC124" s="1"/>
  <c r="DB31"/>
  <c r="DB124" s="1"/>
  <c r="DA31"/>
  <c r="DA124" s="1"/>
  <c r="CZ31"/>
  <c r="CZ124" s="1"/>
  <c r="CY31"/>
  <c r="CY124" s="1"/>
  <c r="CX31"/>
  <c r="CW31"/>
  <c r="CW124" s="1"/>
  <c r="CV31"/>
  <c r="CV124" s="1"/>
  <c r="CU31"/>
  <c r="CU124" s="1"/>
  <c r="CT31"/>
  <c r="CT124" s="1"/>
  <c r="CS31"/>
  <c r="CS124" s="1"/>
  <c r="CQ31"/>
  <c r="CQ124" s="1"/>
  <c r="CP31"/>
  <c r="CO31"/>
  <c r="CO124" s="1"/>
  <c r="CN31"/>
  <c r="CN124" s="1"/>
  <c r="CM31"/>
  <c r="CM124" s="1"/>
  <c r="CL31"/>
  <c r="CJ31"/>
  <c r="CJ124" s="1"/>
  <c r="CI31"/>
  <c r="CI124" s="1"/>
  <c r="CH31"/>
  <c r="CH124" s="1"/>
  <c r="CG31"/>
  <c r="CG124" s="1"/>
  <c r="CF31"/>
  <c r="CF124" s="1"/>
  <c r="CE31"/>
  <c r="CE124" s="1"/>
  <c r="CD31"/>
  <c r="CD124" s="1"/>
  <c r="CB31"/>
  <c r="CB124" s="1"/>
  <c r="CA31"/>
  <c r="CA124" s="1"/>
  <c r="BZ31"/>
  <c r="BZ124" s="1"/>
  <c r="BY31"/>
  <c r="BY124" s="1"/>
  <c r="BX31"/>
  <c r="BX124" s="1"/>
  <c r="BW31"/>
  <c r="BW124" s="1"/>
  <c r="BV31"/>
  <c r="BV124" s="1"/>
  <c r="BP31"/>
  <c r="BP124" s="1"/>
  <c r="BM31"/>
  <c r="BM124" s="1"/>
  <c r="BL31"/>
  <c r="BI31"/>
  <c r="BI124" s="1"/>
  <c r="BG31"/>
  <c r="BG124" s="1"/>
  <c r="BF31"/>
  <c r="BF124" s="1"/>
  <c r="BE31"/>
  <c r="BE124" s="1"/>
  <c r="BB31"/>
  <c r="BB124" s="1"/>
  <c r="BA31"/>
  <c r="BA124" s="1"/>
  <c r="AV31"/>
  <c r="AV124" s="1"/>
  <c r="AU31"/>
  <c r="AU124" s="1"/>
  <c r="AT31"/>
  <c r="AT124" s="1"/>
  <c r="AS31"/>
  <c r="AS124" s="1"/>
  <c r="AR31"/>
  <c r="AR124" s="1"/>
  <c r="AM31"/>
  <c r="AM124" s="1"/>
  <c r="AL31"/>
  <c r="AN31" s="1"/>
  <c r="AN124" s="1"/>
  <c r="AJ31"/>
  <c r="AJ124" s="1"/>
  <c r="AI31"/>
  <c r="AI124" s="1"/>
  <c r="AH31"/>
  <c r="AH124" s="1"/>
  <c r="AG31"/>
  <c r="AG124" s="1"/>
  <c r="AD31"/>
  <c r="AD124" s="1"/>
  <c r="AC31"/>
  <c r="AC124" s="1"/>
  <c r="AA31"/>
  <c r="AA124" s="1"/>
  <c r="Z31"/>
  <c r="Z124" s="1"/>
  <c r="AQ31"/>
  <c r="X31"/>
  <c r="X124" s="1"/>
  <c r="W31"/>
  <c r="W124" s="1"/>
  <c r="V31"/>
  <c r="U31"/>
  <c r="U124" s="1"/>
  <c r="T31"/>
  <c r="T124" s="1"/>
  <c r="R31"/>
  <c r="R124" s="1"/>
  <c r="Q31"/>
  <c r="Q124" s="1"/>
  <c r="P31"/>
  <c r="P124" s="1"/>
  <c r="O31"/>
  <c r="O124" s="1"/>
  <c r="N31"/>
  <c r="M31"/>
  <c r="L31"/>
  <c r="L124" s="1"/>
  <c r="K31"/>
  <c r="K124" s="1"/>
  <c r="J31"/>
  <c r="J124" s="1"/>
  <c r="I31"/>
  <c r="I124" s="1"/>
  <c r="H31"/>
  <c r="H124" s="1"/>
  <c r="G31"/>
  <c r="G124" s="1"/>
  <c r="F31"/>
  <c r="F124" s="1"/>
  <c r="E31"/>
  <c r="E124" s="1"/>
  <c r="D31"/>
  <c r="D124" s="1"/>
  <c r="C31"/>
  <c r="C124" s="1"/>
  <c r="DU815" i="2"/>
  <c r="DU814"/>
  <c r="DT815"/>
  <c r="DT814"/>
  <c r="DR815"/>
  <c r="DR814"/>
  <c r="DP815"/>
  <c r="DP814"/>
  <c r="DN815"/>
  <c r="DN814"/>
  <c r="DL815"/>
  <c r="DL814"/>
  <c r="DK815"/>
  <c r="DK814"/>
  <c r="DF815"/>
  <c r="DF814"/>
  <c r="CZ815"/>
  <c r="CZ814"/>
  <c r="CW815"/>
  <c r="CW814"/>
  <c r="CR815"/>
  <c r="CR814"/>
  <c r="CQ815"/>
  <c r="CQ814"/>
  <c r="CP815"/>
  <c r="CP814"/>
  <c r="CL815"/>
  <c r="CL814"/>
  <c r="CF815"/>
  <c r="CF814"/>
  <c r="CE815"/>
  <c r="CE814"/>
  <c r="CB815"/>
  <c r="CB814"/>
  <c r="BZ815"/>
  <c r="BZ814"/>
  <c r="BY815"/>
  <c r="BY814"/>
  <c r="BO815"/>
  <c r="BO814"/>
  <c r="BM815"/>
  <c r="BM814"/>
  <c r="BD815"/>
  <c r="BD814"/>
  <c r="BC815"/>
  <c r="BC814"/>
  <c r="AQ815"/>
  <c r="AQ814"/>
  <c r="AP815"/>
  <c r="AP814"/>
  <c r="AO815"/>
  <c r="AO814"/>
  <c r="AM815"/>
  <c r="AL814"/>
  <c r="AJ815"/>
  <c r="AJ814"/>
  <c r="AD815"/>
  <c r="AD814"/>
  <c r="AA815"/>
  <c r="AA814"/>
  <c r="T815"/>
  <c r="T814"/>
  <c r="G815"/>
  <c r="Q815"/>
  <c r="R815"/>
  <c r="AY784"/>
  <c r="AY785"/>
  <c r="AY786"/>
  <c r="AY787"/>
  <c r="AY788"/>
  <c r="AY789"/>
  <c r="AY790"/>
  <c r="AY791"/>
  <c r="AY792"/>
  <c r="AY793"/>
  <c r="AY794"/>
  <c r="AY795"/>
  <c r="AY796"/>
  <c r="AY797"/>
  <c r="AY798"/>
  <c r="AY799"/>
  <c r="AY800"/>
  <c r="AY801"/>
  <c r="AY802"/>
  <c r="AY803"/>
  <c r="AY804"/>
  <c r="AY783"/>
  <c r="S789"/>
  <c r="DY789" s="1"/>
  <c r="S790"/>
  <c r="DW790" s="1"/>
  <c r="S791"/>
  <c r="S792"/>
  <c r="DW792" s="1"/>
  <c r="S793"/>
  <c r="DW793" s="1"/>
  <c r="S794"/>
  <c r="S795"/>
  <c r="S796"/>
  <c r="S761"/>
  <c r="S762"/>
  <c r="S757"/>
  <c r="S758"/>
  <c r="S759"/>
  <c r="C810"/>
  <c r="AJ809"/>
  <c r="AI809"/>
  <c r="BA808"/>
  <c r="AJ808"/>
  <c r="AI808"/>
  <c r="AA808"/>
  <c r="DU807"/>
  <c r="DT807"/>
  <c r="DS807"/>
  <c r="DR807"/>
  <c r="DQ807"/>
  <c r="DP807"/>
  <c r="DO807"/>
  <c r="DN807"/>
  <c r="DM807"/>
  <c r="DL807"/>
  <c r="DK807"/>
  <c r="DJ807"/>
  <c r="DI807"/>
  <c r="DH807"/>
  <c r="DG807"/>
  <c r="DF807"/>
  <c r="DE807"/>
  <c r="DD807"/>
  <c r="DC807"/>
  <c r="DB807"/>
  <c r="DA807"/>
  <c r="CZ807"/>
  <c r="CY807"/>
  <c r="CX807"/>
  <c r="CW807"/>
  <c r="CV807"/>
  <c r="CU807"/>
  <c r="CT807"/>
  <c r="CS807"/>
  <c r="CR807"/>
  <c r="CQ807"/>
  <c r="CP807"/>
  <c r="CO807"/>
  <c r="CN807"/>
  <c r="CM807"/>
  <c r="CL807"/>
  <c r="CK807"/>
  <c r="CJ807"/>
  <c r="CI807"/>
  <c r="CH807"/>
  <c r="CG807"/>
  <c r="CF807"/>
  <c r="CE807"/>
  <c r="CD807"/>
  <c r="CC807"/>
  <c r="CB807"/>
  <c r="CA807"/>
  <c r="BZ807"/>
  <c r="BY807"/>
  <c r="BX807"/>
  <c r="BW807"/>
  <c r="BV807"/>
  <c r="BP807"/>
  <c r="BO807"/>
  <c r="BM807"/>
  <c r="BI807"/>
  <c r="BG807"/>
  <c r="BF807"/>
  <c r="BE807"/>
  <c r="BC807"/>
  <c r="BB807"/>
  <c r="BA807"/>
  <c r="AV807"/>
  <c r="AU807"/>
  <c r="AT807"/>
  <c r="AS807"/>
  <c r="AR807"/>
  <c r="AM807"/>
  <c r="AL807"/>
  <c r="AL815" s="1"/>
  <c r="AJ807"/>
  <c r="AI807"/>
  <c r="AI815" s="1"/>
  <c r="AH807"/>
  <c r="AH815" s="1"/>
  <c r="AG807"/>
  <c r="AG815" s="1"/>
  <c r="AD807"/>
  <c r="AC807"/>
  <c r="AC815" s="1"/>
  <c r="AA807"/>
  <c r="Z807"/>
  <c r="Z815" s="1"/>
  <c r="X807"/>
  <c r="X815" s="1"/>
  <c r="W807"/>
  <c r="W815" s="1"/>
  <c r="V807"/>
  <c r="V815" s="1"/>
  <c r="U807"/>
  <c r="U815" s="1"/>
  <c r="T807"/>
  <c r="R807"/>
  <c r="Q807"/>
  <c r="P807"/>
  <c r="O807"/>
  <c r="O815" s="1"/>
  <c r="N807"/>
  <c r="N815" s="1"/>
  <c r="M807"/>
  <c r="M815" s="1"/>
  <c r="L807"/>
  <c r="L815" s="1"/>
  <c r="K807"/>
  <c r="K815" s="1"/>
  <c r="J807"/>
  <c r="J815" s="1"/>
  <c r="I807"/>
  <c r="H807"/>
  <c r="G807"/>
  <c r="F807"/>
  <c r="F815" s="1"/>
  <c r="E807"/>
  <c r="E815" s="1"/>
  <c r="D807"/>
  <c r="D815" s="1"/>
  <c r="C807"/>
  <c r="C815" s="1"/>
  <c r="DU806"/>
  <c r="DT806"/>
  <c r="DS806"/>
  <c r="DR806"/>
  <c r="DQ806"/>
  <c r="DP806"/>
  <c r="DO806"/>
  <c r="DN806"/>
  <c r="DM806"/>
  <c r="DL806"/>
  <c r="DK806"/>
  <c r="DJ806"/>
  <c r="DI806"/>
  <c r="DH806"/>
  <c r="DG806"/>
  <c r="DF806"/>
  <c r="DE806"/>
  <c r="DD806"/>
  <c r="DC806"/>
  <c r="DB806"/>
  <c r="DA806"/>
  <c r="CZ806"/>
  <c r="CY806"/>
  <c r="CX806"/>
  <c r="CW806"/>
  <c r="CV806"/>
  <c r="CU806"/>
  <c r="CT806"/>
  <c r="CS806"/>
  <c r="CR806"/>
  <c r="CQ806"/>
  <c r="CP806"/>
  <c r="CO806"/>
  <c r="CN806"/>
  <c r="CM806"/>
  <c r="CL806"/>
  <c r="CK806"/>
  <c r="CJ806"/>
  <c r="CI806"/>
  <c r="CH806"/>
  <c r="CG806"/>
  <c r="CF806"/>
  <c r="CE806"/>
  <c r="CD806"/>
  <c r="CC806"/>
  <c r="CB806"/>
  <c r="CA806"/>
  <c r="BZ806"/>
  <c r="BY806"/>
  <c r="BX806"/>
  <c r="BW806"/>
  <c r="BV806"/>
  <c r="BP806"/>
  <c r="BO806"/>
  <c r="BM806"/>
  <c r="BI806"/>
  <c r="BG806"/>
  <c r="BF806"/>
  <c r="BE806"/>
  <c r="BC806"/>
  <c r="BB806"/>
  <c r="BA806"/>
  <c r="AV806"/>
  <c r="AU806"/>
  <c r="AT806"/>
  <c r="AS806"/>
  <c r="AR806"/>
  <c r="AM806"/>
  <c r="AM814" s="1"/>
  <c r="AL806"/>
  <c r="AJ806"/>
  <c r="AI806"/>
  <c r="AI814" s="1"/>
  <c r="AH806"/>
  <c r="AH814" s="1"/>
  <c r="AG806"/>
  <c r="AG814" s="1"/>
  <c r="AD806"/>
  <c r="AC806"/>
  <c r="AC814" s="1"/>
  <c r="AA806"/>
  <c r="Z806"/>
  <c r="Z814" s="1"/>
  <c r="X806"/>
  <c r="X814" s="1"/>
  <c r="W806"/>
  <c r="W814" s="1"/>
  <c r="V806"/>
  <c r="V814" s="1"/>
  <c r="U806"/>
  <c r="U814" s="1"/>
  <c r="T806"/>
  <c r="R806"/>
  <c r="R814" s="1"/>
  <c r="Q806"/>
  <c r="Q814" s="1"/>
  <c r="P806"/>
  <c r="O806"/>
  <c r="O814" s="1"/>
  <c r="N806"/>
  <c r="N814" s="1"/>
  <c r="M806"/>
  <c r="M814" s="1"/>
  <c r="L806"/>
  <c r="L814" s="1"/>
  <c r="K806"/>
  <c r="K814" s="1"/>
  <c r="J806"/>
  <c r="J814" s="1"/>
  <c r="I806"/>
  <c r="H806"/>
  <c r="G806"/>
  <c r="G814" s="1"/>
  <c r="F806"/>
  <c r="F814" s="1"/>
  <c r="E806"/>
  <c r="E814" s="1"/>
  <c r="D806"/>
  <c r="D814" s="1"/>
  <c r="C806"/>
  <c r="C814" s="1"/>
  <c r="DV805"/>
  <c r="AE805"/>
  <c r="S805"/>
  <c r="DW805" s="1"/>
  <c r="DV804"/>
  <c r="BL804"/>
  <c r="AE804"/>
  <c r="S804"/>
  <c r="DY804" s="1"/>
  <c r="DV803"/>
  <c r="AE803"/>
  <c r="S803"/>
  <c r="DY803" s="1"/>
  <c r="DV802"/>
  <c r="BL802"/>
  <c r="AE802"/>
  <c r="S802"/>
  <c r="DW802" s="1"/>
  <c r="DV801"/>
  <c r="AE801"/>
  <c r="S801"/>
  <c r="DW801" s="1"/>
  <c r="DV800"/>
  <c r="BL800"/>
  <c r="AN800"/>
  <c r="AE800"/>
  <c r="S800"/>
  <c r="DW800" s="1"/>
  <c r="DV799"/>
  <c r="DW799" s="1"/>
  <c r="AE799"/>
  <c r="S799"/>
  <c r="DY799" s="1"/>
  <c r="DV798"/>
  <c r="BL798"/>
  <c r="AE798"/>
  <c r="S798"/>
  <c r="DW798" s="1"/>
  <c r="DV797"/>
  <c r="DW797" s="1"/>
  <c r="AE797"/>
  <c r="S797"/>
  <c r="DY797" s="1"/>
  <c r="DV796"/>
  <c r="BL796"/>
  <c r="AE796"/>
  <c r="DW796"/>
  <c r="DV795"/>
  <c r="AE795"/>
  <c r="DY795"/>
  <c r="DV794"/>
  <c r="BL794"/>
  <c r="AN794"/>
  <c r="AE794"/>
  <c r="DY794"/>
  <c r="DZ794" s="1"/>
  <c r="DY793"/>
  <c r="DV793"/>
  <c r="AE793"/>
  <c r="DV792"/>
  <c r="BL792"/>
  <c r="AE792"/>
  <c r="DV791"/>
  <c r="AE791"/>
  <c r="DW791"/>
  <c r="DV790"/>
  <c r="BL790"/>
  <c r="AE790"/>
  <c r="DV789"/>
  <c r="AE789"/>
  <c r="DV788"/>
  <c r="BL788"/>
  <c r="AN788"/>
  <c r="AE788"/>
  <c r="S788"/>
  <c r="DY788" s="1"/>
  <c r="DV787"/>
  <c r="AE787"/>
  <c r="S787"/>
  <c r="DW787" s="1"/>
  <c r="DV786"/>
  <c r="BL786"/>
  <c r="AE786"/>
  <c r="S786"/>
  <c r="DY786" s="1"/>
  <c r="DV785"/>
  <c r="DW785" s="1"/>
  <c r="AE785"/>
  <c r="S785"/>
  <c r="DY785" s="1"/>
  <c r="DV784"/>
  <c r="BL784"/>
  <c r="BH807"/>
  <c r="AE784"/>
  <c r="S784"/>
  <c r="DV783"/>
  <c r="AE783"/>
  <c r="S783"/>
  <c r="DV782"/>
  <c r="BL782"/>
  <c r="AN782"/>
  <c r="AE782"/>
  <c r="S782"/>
  <c r="AY772"/>
  <c r="AY771"/>
  <c r="AN110" i="3" l="1"/>
  <c r="X72"/>
  <c r="AQ110"/>
  <c r="AL124"/>
  <c r="S110"/>
  <c r="DV110"/>
  <c r="AE110"/>
  <c r="AE31"/>
  <c r="AE124" s="1"/>
  <c r="DV31"/>
  <c r="DV124" s="1"/>
  <c r="AE807" i="2"/>
  <c r="AE815" s="1"/>
  <c r="D72" i="3"/>
  <c r="F72"/>
  <c r="H72"/>
  <c r="J72"/>
  <c r="L72"/>
  <c r="N72"/>
  <c r="P72"/>
  <c r="R72"/>
  <c r="U72"/>
  <c r="W72"/>
  <c r="C72"/>
  <c r="E72"/>
  <c r="G72"/>
  <c r="I72"/>
  <c r="K72"/>
  <c r="M72"/>
  <c r="O72"/>
  <c r="Q72"/>
  <c r="T72"/>
  <c r="V72"/>
  <c r="DV806" i="2"/>
  <c r="DW783"/>
  <c r="DW784"/>
  <c r="BL807"/>
  <c r="AN807"/>
  <c r="AN815" s="1"/>
  <c r="AN806"/>
  <c r="AN814" s="1"/>
  <c r="AE806"/>
  <c r="AE814" s="1"/>
  <c r="AY807"/>
  <c r="DY790"/>
  <c r="DZ793"/>
  <c r="DW786"/>
  <c r="F810"/>
  <c r="G810" s="1"/>
  <c r="DW789"/>
  <c r="DW804"/>
  <c r="S808"/>
  <c r="S807"/>
  <c r="DY787"/>
  <c r="DW788"/>
  <c r="DY805"/>
  <c r="DZ805" s="1"/>
  <c r="DW782"/>
  <c r="DW795"/>
  <c r="DW803"/>
  <c r="DY782"/>
  <c r="S809"/>
  <c r="BH806"/>
  <c r="DY791"/>
  <c r="DY796"/>
  <c r="DZ796" s="1"/>
  <c r="DY802"/>
  <c r="DZ802" s="1"/>
  <c r="DY784"/>
  <c r="DY792"/>
  <c r="DZ795"/>
  <c r="DZ799"/>
  <c r="DW794"/>
  <c r="DY783"/>
  <c r="DY800"/>
  <c r="DZ800" s="1"/>
  <c r="DZ797"/>
  <c r="DY798"/>
  <c r="DZ798" s="1"/>
  <c r="DY801"/>
  <c r="DZ801" s="1"/>
  <c r="DZ803"/>
  <c r="DZ804"/>
  <c r="S806"/>
  <c r="BH768"/>
  <c r="BH766"/>
  <c r="BH764"/>
  <c r="AY750"/>
  <c r="AY751"/>
  <c r="AY752"/>
  <c r="AY753"/>
  <c r="AY754"/>
  <c r="AY755"/>
  <c r="AY756"/>
  <c r="AY757"/>
  <c r="AY758"/>
  <c r="AY759"/>
  <c r="AY760"/>
  <c r="AY761"/>
  <c r="AY762"/>
  <c r="AY763"/>
  <c r="AY764"/>
  <c r="AY765"/>
  <c r="AY766"/>
  <c r="AY767"/>
  <c r="AY768"/>
  <c r="AY769"/>
  <c r="AY770"/>
  <c r="BH659"/>
  <c r="BH661"/>
  <c r="BH663"/>
  <c r="BH665"/>
  <c r="BH667"/>
  <c r="BH669"/>
  <c r="BH671"/>
  <c r="BH673"/>
  <c r="BH675"/>
  <c r="BH677"/>
  <c r="BH679"/>
  <c r="BH690"/>
  <c r="BH692"/>
  <c r="BH694"/>
  <c r="BH696"/>
  <c r="BH698"/>
  <c r="BH700"/>
  <c r="BH702"/>
  <c r="BH704"/>
  <c r="BH706"/>
  <c r="BH708"/>
  <c r="BH710"/>
  <c r="BH729"/>
  <c r="BH762"/>
  <c r="BH760"/>
  <c r="BH758"/>
  <c r="BH756"/>
  <c r="BH754"/>
  <c r="BX774"/>
  <c r="BX814" s="1"/>
  <c r="BY774"/>
  <c r="BZ774"/>
  <c r="CA774"/>
  <c r="CA814" s="1"/>
  <c r="CB774"/>
  <c r="CC774"/>
  <c r="CC814" s="1"/>
  <c r="CD774"/>
  <c r="CD814" s="1"/>
  <c r="CE774"/>
  <c r="CF774"/>
  <c r="CG774"/>
  <c r="CG814" s="1"/>
  <c r="CH774"/>
  <c r="CH814" s="1"/>
  <c r="CI774"/>
  <c r="CI814" s="1"/>
  <c r="CJ774"/>
  <c r="CJ814" s="1"/>
  <c r="CK774"/>
  <c r="CK814" s="1"/>
  <c r="CL774"/>
  <c r="CM774"/>
  <c r="CM814" s="1"/>
  <c r="CN774"/>
  <c r="CN814" s="1"/>
  <c r="CO774"/>
  <c r="CO814" s="1"/>
  <c r="CP774"/>
  <c r="CQ774"/>
  <c r="CR774"/>
  <c r="CS774"/>
  <c r="CS814" s="1"/>
  <c r="CT774"/>
  <c r="CT814" s="1"/>
  <c r="CU774"/>
  <c r="CU814" s="1"/>
  <c r="CV774"/>
  <c r="CV814" s="1"/>
  <c r="CW774"/>
  <c r="CX774"/>
  <c r="CX814" s="1"/>
  <c r="CY774"/>
  <c r="CY814" s="1"/>
  <c r="CZ774"/>
  <c r="DA774"/>
  <c r="DA814" s="1"/>
  <c r="DB774"/>
  <c r="DB814" s="1"/>
  <c r="DC774"/>
  <c r="DC814" s="1"/>
  <c r="DD774"/>
  <c r="DD814" s="1"/>
  <c r="DE774"/>
  <c r="DE814" s="1"/>
  <c r="DF774"/>
  <c r="DG774"/>
  <c r="DG814" s="1"/>
  <c r="DH774"/>
  <c r="DH814" s="1"/>
  <c r="DI774"/>
  <c r="DI814" s="1"/>
  <c r="DJ774"/>
  <c r="DJ814" s="1"/>
  <c r="DK774"/>
  <c r="DL774"/>
  <c r="DM774"/>
  <c r="DM814" s="1"/>
  <c r="DN774"/>
  <c r="DO774"/>
  <c r="DO814" s="1"/>
  <c r="DP774"/>
  <c r="DQ774"/>
  <c r="DQ814" s="1"/>
  <c r="DR774"/>
  <c r="DS774"/>
  <c r="DS814" s="1"/>
  <c r="DT774"/>
  <c r="DU774"/>
  <c r="BX775"/>
  <c r="BX815" s="1"/>
  <c r="BY775"/>
  <c r="BZ775"/>
  <c r="CA775"/>
  <c r="CA815" s="1"/>
  <c r="CB775"/>
  <c r="CC775"/>
  <c r="CC815" s="1"/>
  <c r="CD775"/>
  <c r="CD815" s="1"/>
  <c r="CE775"/>
  <c r="CF775"/>
  <c r="CG775"/>
  <c r="CG815" s="1"/>
  <c r="CH775"/>
  <c r="CH815" s="1"/>
  <c r="CI775"/>
  <c r="CI815" s="1"/>
  <c r="CJ775"/>
  <c r="CJ815" s="1"/>
  <c r="CK775"/>
  <c r="CK815" s="1"/>
  <c r="CL775"/>
  <c r="CM775"/>
  <c r="CM815" s="1"/>
  <c r="CN775"/>
  <c r="CN815" s="1"/>
  <c r="CO775"/>
  <c r="CO815" s="1"/>
  <c r="CP775"/>
  <c r="CQ775"/>
  <c r="CR775"/>
  <c r="CS775"/>
  <c r="CS815" s="1"/>
  <c r="CT775"/>
  <c r="CT815" s="1"/>
  <c r="CU775"/>
  <c r="CU815" s="1"/>
  <c r="CV775"/>
  <c r="CV815" s="1"/>
  <c r="CW775"/>
  <c r="CX775"/>
  <c r="CX815" s="1"/>
  <c r="CY775"/>
  <c r="CY815" s="1"/>
  <c r="CZ775"/>
  <c r="DA775"/>
  <c r="DA815" s="1"/>
  <c r="DB775"/>
  <c r="DB815" s="1"/>
  <c r="DC775"/>
  <c r="DC815" s="1"/>
  <c r="DD775"/>
  <c r="DD815" s="1"/>
  <c r="DE775"/>
  <c r="DE815" s="1"/>
  <c r="DF775"/>
  <c r="DG775"/>
  <c r="DG815" s="1"/>
  <c r="DH775"/>
  <c r="DH815" s="1"/>
  <c r="DI775"/>
  <c r="DI815" s="1"/>
  <c r="DJ775"/>
  <c r="DJ815" s="1"/>
  <c r="DK775"/>
  <c r="DL775"/>
  <c r="DM775"/>
  <c r="DM815" s="1"/>
  <c r="DN775"/>
  <c r="DO775"/>
  <c r="DO815" s="1"/>
  <c r="DP775"/>
  <c r="DQ775"/>
  <c r="DQ815" s="1"/>
  <c r="DR775"/>
  <c r="DS775"/>
  <c r="DS815" s="1"/>
  <c r="DT775"/>
  <c r="DU775"/>
  <c r="BX743"/>
  <c r="BY743"/>
  <c r="BZ743"/>
  <c r="CA743"/>
  <c r="CB743"/>
  <c r="CC743"/>
  <c r="CD743"/>
  <c r="CE743"/>
  <c r="CF743"/>
  <c r="CG743"/>
  <c r="CH743"/>
  <c r="CI743"/>
  <c r="CJ743"/>
  <c r="CK743"/>
  <c r="CL743"/>
  <c r="CM743"/>
  <c r="CN743"/>
  <c r="CO743"/>
  <c r="CP743"/>
  <c r="CQ743"/>
  <c r="CR743"/>
  <c r="CS743"/>
  <c r="CT743"/>
  <c r="CU743"/>
  <c r="CV743"/>
  <c r="CW743"/>
  <c r="CX743"/>
  <c r="CY743"/>
  <c r="CZ743"/>
  <c r="DA743"/>
  <c r="DB743"/>
  <c r="DC743"/>
  <c r="DD743"/>
  <c r="DE743"/>
  <c r="DF743"/>
  <c r="DG743"/>
  <c r="DH743"/>
  <c r="DI743"/>
  <c r="DJ743"/>
  <c r="DK743"/>
  <c r="DL743"/>
  <c r="DM743"/>
  <c r="DN743"/>
  <c r="DO743"/>
  <c r="DP743"/>
  <c r="DQ743"/>
  <c r="DR743"/>
  <c r="DS743"/>
  <c r="DT743"/>
  <c r="DU743"/>
  <c r="BX744"/>
  <c r="BY744"/>
  <c r="BZ744"/>
  <c r="CA744"/>
  <c r="CB744"/>
  <c r="CC744"/>
  <c r="CD744"/>
  <c r="CE744"/>
  <c r="CF744"/>
  <c r="CG744"/>
  <c r="CH744"/>
  <c r="CI744"/>
  <c r="CJ744"/>
  <c r="CK744"/>
  <c r="CL744"/>
  <c r="CM744"/>
  <c r="CN744"/>
  <c r="CO744"/>
  <c r="CP744"/>
  <c r="CQ744"/>
  <c r="CR744"/>
  <c r="CS744"/>
  <c r="CT744"/>
  <c r="CU744"/>
  <c r="CV744"/>
  <c r="CW744"/>
  <c r="CX744"/>
  <c r="CY744"/>
  <c r="CZ744"/>
  <c r="DA744"/>
  <c r="DB744"/>
  <c r="DC744"/>
  <c r="DD744"/>
  <c r="DE744"/>
  <c r="DF744"/>
  <c r="DG744"/>
  <c r="DH744"/>
  <c r="DI744"/>
  <c r="DJ744"/>
  <c r="DK744"/>
  <c r="DL744"/>
  <c r="DM744"/>
  <c r="DN744"/>
  <c r="DO744"/>
  <c r="DP744"/>
  <c r="DQ744"/>
  <c r="DR744"/>
  <c r="DS744"/>
  <c r="DT744"/>
  <c r="DU744"/>
  <c r="BX712"/>
  <c r="BY712"/>
  <c r="BZ712"/>
  <c r="CA712"/>
  <c r="CB712"/>
  <c r="CC712"/>
  <c r="CD712"/>
  <c r="CE712"/>
  <c r="CF712"/>
  <c r="CG712"/>
  <c r="CH712"/>
  <c r="CI712"/>
  <c r="CJ712"/>
  <c r="CK712"/>
  <c r="CL712"/>
  <c r="CM712"/>
  <c r="CN712"/>
  <c r="CO712"/>
  <c r="CP712"/>
  <c r="CQ712"/>
  <c r="CR712"/>
  <c r="CS712"/>
  <c r="CT712"/>
  <c r="CU712"/>
  <c r="CV712"/>
  <c r="CW712"/>
  <c r="CX712"/>
  <c r="CY712"/>
  <c r="CZ712"/>
  <c r="DA712"/>
  <c r="DB712"/>
  <c r="DC712"/>
  <c r="DD712"/>
  <c r="DE712"/>
  <c r="DF712"/>
  <c r="DG712"/>
  <c r="DH712"/>
  <c r="DI712"/>
  <c r="DJ712"/>
  <c r="DK712"/>
  <c r="DL712"/>
  <c r="DM712"/>
  <c r="DN712"/>
  <c r="DO712"/>
  <c r="DP712"/>
  <c r="DQ712"/>
  <c r="DR712"/>
  <c r="DS712"/>
  <c r="DT712"/>
  <c r="DU712"/>
  <c r="BX713"/>
  <c r="BY713"/>
  <c r="BZ713"/>
  <c r="CA713"/>
  <c r="CB713"/>
  <c r="CC713"/>
  <c r="CD713"/>
  <c r="CE713"/>
  <c r="CF713"/>
  <c r="CG713"/>
  <c r="CH713"/>
  <c r="CI713"/>
  <c r="CJ713"/>
  <c r="CK713"/>
  <c r="CL713"/>
  <c r="CM713"/>
  <c r="CN713"/>
  <c r="CO713"/>
  <c r="CP713"/>
  <c r="CQ713"/>
  <c r="CR713"/>
  <c r="CS713"/>
  <c r="CT713"/>
  <c r="CU713"/>
  <c r="CV713"/>
  <c r="CW713"/>
  <c r="CX713"/>
  <c r="CY713"/>
  <c r="CZ713"/>
  <c r="DA713"/>
  <c r="DB713"/>
  <c r="DC713"/>
  <c r="DD713"/>
  <c r="DE713"/>
  <c r="DF713"/>
  <c r="DG713"/>
  <c r="DH713"/>
  <c r="DI713"/>
  <c r="DJ713"/>
  <c r="DK713"/>
  <c r="DL713"/>
  <c r="DM713"/>
  <c r="DN713"/>
  <c r="DO713"/>
  <c r="DP713"/>
  <c r="DQ713"/>
  <c r="DR713"/>
  <c r="DS713"/>
  <c r="DT713"/>
  <c r="DU713"/>
  <c r="BX681"/>
  <c r="BY681"/>
  <c r="BZ681"/>
  <c r="CA681"/>
  <c r="CB681"/>
  <c r="CC681"/>
  <c r="CD681"/>
  <c r="CE681"/>
  <c r="CF681"/>
  <c r="CG681"/>
  <c r="CH681"/>
  <c r="CI681"/>
  <c r="CJ681"/>
  <c r="CK681"/>
  <c r="CL681"/>
  <c r="CM681"/>
  <c r="CN681"/>
  <c r="CO681"/>
  <c r="CP681"/>
  <c r="CQ681"/>
  <c r="CR681"/>
  <c r="CS681"/>
  <c r="CT681"/>
  <c r="CU681"/>
  <c r="CV681"/>
  <c r="CW681"/>
  <c r="CX681"/>
  <c r="CY681"/>
  <c r="CZ681"/>
  <c r="DA681"/>
  <c r="DB681"/>
  <c r="DC681"/>
  <c r="DD681"/>
  <c r="DE681"/>
  <c r="DF681"/>
  <c r="DG681"/>
  <c r="DH681"/>
  <c r="DI681"/>
  <c r="DJ681"/>
  <c r="DK681"/>
  <c r="DL681"/>
  <c r="DM681"/>
  <c r="DN681"/>
  <c r="DO681"/>
  <c r="DP681"/>
  <c r="DQ681"/>
  <c r="DR681"/>
  <c r="DS681"/>
  <c r="DT681"/>
  <c r="DU681"/>
  <c r="BX682"/>
  <c r="BY682"/>
  <c r="BZ682"/>
  <c r="CA682"/>
  <c r="CB682"/>
  <c r="CC682"/>
  <c r="CD682"/>
  <c r="CE682"/>
  <c r="CF682"/>
  <c r="CG682"/>
  <c r="CH682"/>
  <c r="CI682"/>
  <c r="CJ682"/>
  <c r="CK682"/>
  <c r="CL682"/>
  <c r="CM682"/>
  <c r="CN682"/>
  <c r="CO682"/>
  <c r="CP682"/>
  <c r="CQ682"/>
  <c r="CR682"/>
  <c r="CS682"/>
  <c r="CT682"/>
  <c r="CU682"/>
  <c r="CV682"/>
  <c r="CW682"/>
  <c r="CX682"/>
  <c r="CY682"/>
  <c r="CZ682"/>
  <c r="DA682"/>
  <c r="DB682"/>
  <c r="DC682"/>
  <c r="DD682"/>
  <c r="DE682"/>
  <c r="DF682"/>
  <c r="DG682"/>
  <c r="DH682"/>
  <c r="DI682"/>
  <c r="DJ682"/>
  <c r="DK682"/>
  <c r="DL682"/>
  <c r="DM682"/>
  <c r="DN682"/>
  <c r="DO682"/>
  <c r="DP682"/>
  <c r="DQ682"/>
  <c r="DR682"/>
  <c r="DS682"/>
  <c r="DT682"/>
  <c r="DU682"/>
  <c r="BX650"/>
  <c r="BY650"/>
  <c r="BZ650"/>
  <c r="CA650"/>
  <c r="CB650"/>
  <c r="CC650"/>
  <c r="CD650"/>
  <c r="CE650"/>
  <c r="CF650"/>
  <c r="CG650"/>
  <c r="CH650"/>
  <c r="CI650"/>
  <c r="CJ650"/>
  <c r="CK650"/>
  <c r="CL650"/>
  <c r="CM650"/>
  <c r="CN650"/>
  <c r="CO650"/>
  <c r="CP650"/>
  <c r="CQ650"/>
  <c r="CR650"/>
  <c r="CS650"/>
  <c r="CT650"/>
  <c r="CU650"/>
  <c r="CV650"/>
  <c r="CW650"/>
  <c r="CX650"/>
  <c r="CY650"/>
  <c r="CZ650"/>
  <c r="DA650"/>
  <c r="DB650"/>
  <c r="DC650"/>
  <c r="DD650"/>
  <c r="DE650"/>
  <c r="DF650"/>
  <c r="DG650"/>
  <c r="DH650"/>
  <c r="DI650"/>
  <c r="DJ650"/>
  <c r="DK650"/>
  <c r="DL650"/>
  <c r="DM650"/>
  <c r="DN650"/>
  <c r="DO650"/>
  <c r="DP650"/>
  <c r="DQ650"/>
  <c r="DR650"/>
  <c r="DS650"/>
  <c r="DT650"/>
  <c r="DU650"/>
  <c r="BX651"/>
  <c r="BY651"/>
  <c r="BZ651"/>
  <c r="CA651"/>
  <c r="CB651"/>
  <c r="CC651"/>
  <c r="CD651"/>
  <c r="CE651"/>
  <c r="CF651"/>
  <c r="CG651"/>
  <c r="CH651"/>
  <c r="CI651"/>
  <c r="CJ651"/>
  <c r="CK651"/>
  <c r="CL651"/>
  <c r="CM651"/>
  <c r="CN651"/>
  <c r="CO651"/>
  <c r="CP651"/>
  <c r="CQ651"/>
  <c r="CR651"/>
  <c r="CS651"/>
  <c r="CT651"/>
  <c r="CU651"/>
  <c r="CV651"/>
  <c r="CW651"/>
  <c r="CX651"/>
  <c r="CY651"/>
  <c r="CZ651"/>
  <c r="DA651"/>
  <c r="DB651"/>
  <c r="DC651"/>
  <c r="DD651"/>
  <c r="DE651"/>
  <c r="DF651"/>
  <c r="DG651"/>
  <c r="DH651"/>
  <c r="DI651"/>
  <c r="DJ651"/>
  <c r="DK651"/>
  <c r="DL651"/>
  <c r="DM651"/>
  <c r="DN651"/>
  <c r="DO651"/>
  <c r="DP651"/>
  <c r="DQ651"/>
  <c r="DR651"/>
  <c r="DS651"/>
  <c r="DT651"/>
  <c r="DU651"/>
  <c r="BX619"/>
  <c r="BY619"/>
  <c r="BZ619"/>
  <c r="CA619"/>
  <c r="CB619"/>
  <c r="CC619"/>
  <c r="CD619"/>
  <c r="CE619"/>
  <c r="CF619"/>
  <c r="CG619"/>
  <c r="CH619"/>
  <c r="CI619"/>
  <c r="CJ619"/>
  <c r="CK619"/>
  <c r="CL619"/>
  <c r="CM619"/>
  <c r="CN619"/>
  <c r="CO619"/>
  <c r="CP619"/>
  <c r="CQ619"/>
  <c r="CR619"/>
  <c r="CS619"/>
  <c r="CT619"/>
  <c r="CU619"/>
  <c r="CV619"/>
  <c r="CW619"/>
  <c r="CX619"/>
  <c r="CY619"/>
  <c r="CZ619"/>
  <c r="DA619"/>
  <c r="DB619"/>
  <c r="DC619"/>
  <c r="DD619"/>
  <c r="DE619"/>
  <c r="DF619"/>
  <c r="DG619"/>
  <c r="DH619"/>
  <c r="DI619"/>
  <c r="DJ619"/>
  <c r="DK619"/>
  <c r="DL619"/>
  <c r="DM619"/>
  <c r="DN619"/>
  <c r="DO619"/>
  <c r="DP619"/>
  <c r="DQ619"/>
  <c r="DR619"/>
  <c r="DS619"/>
  <c r="DT619"/>
  <c r="DU619"/>
  <c r="BX620"/>
  <c r="BY620"/>
  <c r="BZ620"/>
  <c r="CA620"/>
  <c r="CB620"/>
  <c r="CC620"/>
  <c r="CD620"/>
  <c r="CE620"/>
  <c r="CF620"/>
  <c r="CG620"/>
  <c r="CH620"/>
  <c r="CI620"/>
  <c r="CJ620"/>
  <c r="CK620"/>
  <c r="CL620"/>
  <c r="CM620"/>
  <c r="CN620"/>
  <c r="CO620"/>
  <c r="CP620"/>
  <c r="CQ620"/>
  <c r="CR620"/>
  <c r="CS620"/>
  <c r="CT620"/>
  <c r="CU620"/>
  <c r="CV620"/>
  <c r="CW620"/>
  <c r="CX620"/>
  <c r="CY620"/>
  <c r="CZ620"/>
  <c r="DA620"/>
  <c r="DB620"/>
  <c r="DC620"/>
  <c r="DD620"/>
  <c r="DE620"/>
  <c r="DF620"/>
  <c r="DG620"/>
  <c r="DH620"/>
  <c r="DI620"/>
  <c r="DJ620"/>
  <c r="DK620"/>
  <c r="DL620"/>
  <c r="DM620"/>
  <c r="DN620"/>
  <c r="DO620"/>
  <c r="DP620"/>
  <c r="DQ620"/>
  <c r="DR620"/>
  <c r="DS620"/>
  <c r="DT620"/>
  <c r="DU620"/>
  <c r="BX588"/>
  <c r="BY588"/>
  <c r="BZ588"/>
  <c r="CA588"/>
  <c r="CB588"/>
  <c r="CC588"/>
  <c r="CD588"/>
  <c r="CE588"/>
  <c r="CF588"/>
  <c r="CG588"/>
  <c r="CH588"/>
  <c r="CI588"/>
  <c r="CJ588"/>
  <c r="CK588"/>
  <c r="CL588"/>
  <c r="CM588"/>
  <c r="CN588"/>
  <c r="CO588"/>
  <c r="CP588"/>
  <c r="CQ588"/>
  <c r="CR588"/>
  <c r="CS588"/>
  <c r="CT588"/>
  <c r="CU588"/>
  <c r="CV588"/>
  <c r="CW588"/>
  <c r="CX588"/>
  <c r="CY588"/>
  <c r="CZ588"/>
  <c r="DA588"/>
  <c r="DB588"/>
  <c r="DC588"/>
  <c r="DD588"/>
  <c r="DE588"/>
  <c r="DF588"/>
  <c r="DG588"/>
  <c r="DH588"/>
  <c r="DI588"/>
  <c r="DJ588"/>
  <c r="DK588"/>
  <c r="DL588"/>
  <c r="DM588"/>
  <c r="DN588"/>
  <c r="DO588"/>
  <c r="DP588"/>
  <c r="DQ588"/>
  <c r="DR588"/>
  <c r="DS588"/>
  <c r="DT588"/>
  <c r="DU588"/>
  <c r="BX589"/>
  <c r="BY589"/>
  <c r="BZ589"/>
  <c r="CA589"/>
  <c r="CB589"/>
  <c r="CC589"/>
  <c r="CD589"/>
  <c r="CE589"/>
  <c r="CF589"/>
  <c r="CG589"/>
  <c r="CH589"/>
  <c r="CI589"/>
  <c r="CJ589"/>
  <c r="CK589"/>
  <c r="CL589"/>
  <c r="CM589"/>
  <c r="CN589"/>
  <c r="CO589"/>
  <c r="CP589"/>
  <c r="CQ589"/>
  <c r="CR589"/>
  <c r="CS589"/>
  <c r="CT589"/>
  <c r="CU589"/>
  <c r="CV589"/>
  <c r="CW589"/>
  <c r="CX589"/>
  <c r="CY589"/>
  <c r="CZ589"/>
  <c r="DA589"/>
  <c r="DB589"/>
  <c r="DC589"/>
  <c r="DD589"/>
  <c r="DE589"/>
  <c r="DF589"/>
  <c r="DG589"/>
  <c r="DH589"/>
  <c r="DI589"/>
  <c r="DJ589"/>
  <c r="DK589"/>
  <c r="DL589"/>
  <c r="DM589"/>
  <c r="DN589"/>
  <c r="DO589"/>
  <c r="DP589"/>
  <c r="DQ589"/>
  <c r="DR589"/>
  <c r="DS589"/>
  <c r="DT589"/>
  <c r="DU589"/>
  <c r="BX558"/>
  <c r="BY558"/>
  <c r="BZ558"/>
  <c r="CA558"/>
  <c r="CB558"/>
  <c r="CC558"/>
  <c r="CD558"/>
  <c r="CE558"/>
  <c r="CF558"/>
  <c r="CG558"/>
  <c r="CH558"/>
  <c r="CI558"/>
  <c r="CJ558"/>
  <c r="CK558"/>
  <c r="CL558"/>
  <c r="CM558"/>
  <c r="CN558"/>
  <c r="CO558"/>
  <c r="CP558"/>
  <c r="CQ558"/>
  <c r="CR558"/>
  <c r="CS558"/>
  <c r="CT558"/>
  <c r="CU558"/>
  <c r="CV558"/>
  <c r="CW558"/>
  <c r="CX558"/>
  <c r="CY558"/>
  <c r="CZ558"/>
  <c r="DA558"/>
  <c r="DB558"/>
  <c r="DC558"/>
  <c r="DD558"/>
  <c r="DE558"/>
  <c r="DF558"/>
  <c r="DG558"/>
  <c r="DH558"/>
  <c r="DI558"/>
  <c r="DJ558"/>
  <c r="DK558"/>
  <c r="DL558"/>
  <c r="DM558"/>
  <c r="DN558"/>
  <c r="DO558"/>
  <c r="DP558"/>
  <c r="DQ558"/>
  <c r="DR558"/>
  <c r="DS558"/>
  <c r="DT558"/>
  <c r="DU558"/>
  <c r="BX559"/>
  <c r="BY559"/>
  <c r="BZ559"/>
  <c r="CA559"/>
  <c r="CB559"/>
  <c r="CC559"/>
  <c r="CD559"/>
  <c r="CE559"/>
  <c r="CF559"/>
  <c r="CG559"/>
  <c r="CH559"/>
  <c r="CI559"/>
  <c r="CJ559"/>
  <c r="CK559"/>
  <c r="CL559"/>
  <c r="CM559"/>
  <c r="CN559"/>
  <c r="CO559"/>
  <c r="CP559"/>
  <c r="CQ559"/>
  <c r="CR559"/>
  <c r="CS559"/>
  <c r="CT559"/>
  <c r="CU559"/>
  <c r="CV559"/>
  <c r="CW559"/>
  <c r="CX559"/>
  <c r="CY559"/>
  <c r="CZ559"/>
  <c r="DA559"/>
  <c r="DB559"/>
  <c r="DC559"/>
  <c r="DD559"/>
  <c r="DE559"/>
  <c r="DF559"/>
  <c r="DG559"/>
  <c r="DH559"/>
  <c r="DI559"/>
  <c r="DJ559"/>
  <c r="DK559"/>
  <c r="DL559"/>
  <c r="DM559"/>
  <c r="DN559"/>
  <c r="DO559"/>
  <c r="DP559"/>
  <c r="DQ559"/>
  <c r="DR559"/>
  <c r="DS559"/>
  <c r="DT559"/>
  <c r="DU559"/>
  <c r="BX527"/>
  <c r="BY527"/>
  <c r="BZ527"/>
  <c r="CA527"/>
  <c r="CB527"/>
  <c r="CC527"/>
  <c r="CD527"/>
  <c r="CE527"/>
  <c r="CF527"/>
  <c r="CG527"/>
  <c r="CH527"/>
  <c r="CI527"/>
  <c r="CJ527"/>
  <c r="CK527"/>
  <c r="CL527"/>
  <c r="CM527"/>
  <c r="CN527"/>
  <c r="CO527"/>
  <c r="CP527"/>
  <c r="CQ527"/>
  <c r="CR527"/>
  <c r="CS527"/>
  <c r="CT527"/>
  <c r="CU527"/>
  <c r="CV527"/>
  <c r="CW527"/>
  <c r="CX527"/>
  <c r="CY527"/>
  <c r="CZ527"/>
  <c r="DA527"/>
  <c r="DB527"/>
  <c r="DC527"/>
  <c r="DD527"/>
  <c r="DE527"/>
  <c r="DF527"/>
  <c r="DG527"/>
  <c r="DH527"/>
  <c r="DI527"/>
  <c r="DJ527"/>
  <c r="DK527"/>
  <c r="DL527"/>
  <c r="DM527"/>
  <c r="DN527"/>
  <c r="DO527"/>
  <c r="DP527"/>
  <c r="DQ527"/>
  <c r="DR527"/>
  <c r="DS527"/>
  <c r="DT527"/>
  <c r="DU527"/>
  <c r="BX528"/>
  <c r="BY528"/>
  <c r="BZ528"/>
  <c r="CA528"/>
  <c r="CB528"/>
  <c r="CC528"/>
  <c r="CD528"/>
  <c r="CE528"/>
  <c r="CF528"/>
  <c r="CG528"/>
  <c r="CH528"/>
  <c r="CI528"/>
  <c r="CJ528"/>
  <c r="CK528"/>
  <c r="CL528"/>
  <c r="CM528"/>
  <c r="CN528"/>
  <c r="CO528"/>
  <c r="CP528"/>
  <c r="CQ528"/>
  <c r="CR528"/>
  <c r="CS528"/>
  <c r="CT528"/>
  <c r="CU528"/>
  <c r="CV528"/>
  <c r="CW528"/>
  <c r="CX528"/>
  <c r="CY528"/>
  <c r="CZ528"/>
  <c r="DA528"/>
  <c r="DB528"/>
  <c r="DC528"/>
  <c r="DD528"/>
  <c r="DE528"/>
  <c r="DF528"/>
  <c r="DG528"/>
  <c r="DH528"/>
  <c r="DI528"/>
  <c r="DJ528"/>
  <c r="DK528"/>
  <c r="DL528"/>
  <c r="DM528"/>
  <c r="DN528"/>
  <c r="DO528"/>
  <c r="DP528"/>
  <c r="DQ528"/>
  <c r="DR528"/>
  <c r="DS528"/>
  <c r="DT528"/>
  <c r="DU528"/>
  <c r="BX496"/>
  <c r="BY496"/>
  <c r="BZ496"/>
  <c r="CA496"/>
  <c r="CB496"/>
  <c r="CC496"/>
  <c r="CD496"/>
  <c r="CE496"/>
  <c r="CF496"/>
  <c r="CG496"/>
  <c r="CH496"/>
  <c r="CI496"/>
  <c r="CJ496"/>
  <c r="CK496"/>
  <c r="CL496"/>
  <c r="CM496"/>
  <c r="CN496"/>
  <c r="CO496"/>
  <c r="CP496"/>
  <c r="CQ496"/>
  <c r="CR496"/>
  <c r="CS496"/>
  <c r="CT496"/>
  <c r="CU496"/>
  <c r="CV496"/>
  <c r="CW496"/>
  <c r="CX496"/>
  <c r="CY496"/>
  <c r="CZ496"/>
  <c r="DA496"/>
  <c r="DB496"/>
  <c r="DC496"/>
  <c r="DD496"/>
  <c r="DE496"/>
  <c r="DF496"/>
  <c r="DG496"/>
  <c r="DH496"/>
  <c r="DI496"/>
  <c r="DJ496"/>
  <c r="DK496"/>
  <c r="DL496"/>
  <c r="DM496"/>
  <c r="DN496"/>
  <c r="DO496"/>
  <c r="DP496"/>
  <c r="DQ496"/>
  <c r="DR496"/>
  <c r="DS496"/>
  <c r="DT496"/>
  <c r="DU496"/>
  <c r="BX497"/>
  <c r="BY497"/>
  <c r="BZ497"/>
  <c r="CA497"/>
  <c r="CB497"/>
  <c r="CC497"/>
  <c r="CD497"/>
  <c r="CE497"/>
  <c r="CF497"/>
  <c r="CG497"/>
  <c r="CH497"/>
  <c r="CI497"/>
  <c r="CJ497"/>
  <c r="CK497"/>
  <c r="CL497"/>
  <c r="CM497"/>
  <c r="CN497"/>
  <c r="CO497"/>
  <c r="CP497"/>
  <c r="CQ497"/>
  <c r="CR497"/>
  <c r="CS497"/>
  <c r="CT497"/>
  <c r="CU497"/>
  <c r="CV497"/>
  <c r="CW497"/>
  <c r="CX497"/>
  <c r="CY497"/>
  <c r="CZ497"/>
  <c r="DA497"/>
  <c r="DB497"/>
  <c r="DC497"/>
  <c r="DD497"/>
  <c r="DE497"/>
  <c r="DF497"/>
  <c r="DG497"/>
  <c r="DH497"/>
  <c r="DI497"/>
  <c r="DJ497"/>
  <c r="DK497"/>
  <c r="DL497"/>
  <c r="DM497"/>
  <c r="DN497"/>
  <c r="DO497"/>
  <c r="DP497"/>
  <c r="DQ497"/>
  <c r="DR497"/>
  <c r="DS497"/>
  <c r="DT497"/>
  <c r="DU497"/>
  <c r="BX465"/>
  <c r="BY465"/>
  <c r="BZ465"/>
  <c r="CA465"/>
  <c r="CB465"/>
  <c r="CC465"/>
  <c r="CD465"/>
  <c r="CE465"/>
  <c r="CF465"/>
  <c r="CG465"/>
  <c r="CH465"/>
  <c r="CI465"/>
  <c r="CJ465"/>
  <c r="CK465"/>
  <c r="CL465"/>
  <c r="CM465"/>
  <c r="CN465"/>
  <c r="CO465"/>
  <c r="CP465"/>
  <c r="CQ465"/>
  <c r="CR465"/>
  <c r="CS465"/>
  <c r="CT465"/>
  <c r="CU465"/>
  <c r="CV465"/>
  <c r="CW465"/>
  <c r="CX465"/>
  <c r="CY465"/>
  <c r="CZ465"/>
  <c r="DA465"/>
  <c r="DB465"/>
  <c r="DC465"/>
  <c r="DD465"/>
  <c r="DE465"/>
  <c r="DF465"/>
  <c r="DG465"/>
  <c r="DH465"/>
  <c r="DI465"/>
  <c r="DJ465"/>
  <c r="DK465"/>
  <c r="DL465"/>
  <c r="DM465"/>
  <c r="DN465"/>
  <c r="DO465"/>
  <c r="DP465"/>
  <c r="DQ465"/>
  <c r="DR465"/>
  <c r="DS465"/>
  <c r="DT465"/>
  <c r="DU465"/>
  <c r="BX466"/>
  <c r="BY466"/>
  <c r="BZ466"/>
  <c r="CA466"/>
  <c r="CB466"/>
  <c r="CC466"/>
  <c r="CD466"/>
  <c r="CE466"/>
  <c r="CF466"/>
  <c r="CG466"/>
  <c r="CH466"/>
  <c r="CI466"/>
  <c r="CJ466"/>
  <c r="CK466"/>
  <c r="CL466"/>
  <c r="CM466"/>
  <c r="CN466"/>
  <c r="CO466"/>
  <c r="CP466"/>
  <c r="CQ466"/>
  <c r="CR466"/>
  <c r="CS466"/>
  <c r="CT466"/>
  <c r="CU466"/>
  <c r="CV466"/>
  <c r="CW466"/>
  <c r="CX466"/>
  <c r="CY466"/>
  <c r="CZ466"/>
  <c r="DA466"/>
  <c r="DB466"/>
  <c r="DC466"/>
  <c r="DD466"/>
  <c r="DE466"/>
  <c r="DF466"/>
  <c r="DG466"/>
  <c r="DH466"/>
  <c r="DI466"/>
  <c r="DJ466"/>
  <c r="DK466"/>
  <c r="DL466"/>
  <c r="DM466"/>
  <c r="DN466"/>
  <c r="DO466"/>
  <c r="DP466"/>
  <c r="DQ466"/>
  <c r="DR466"/>
  <c r="DS466"/>
  <c r="DT466"/>
  <c r="DU466"/>
  <c r="BW465"/>
  <c r="BW466"/>
  <c r="BX434"/>
  <c r="BY434"/>
  <c r="BZ434"/>
  <c r="CA434"/>
  <c r="CB434"/>
  <c r="CC434"/>
  <c r="CD434"/>
  <c r="CE434"/>
  <c r="CF434"/>
  <c r="CG434"/>
  <c r="CH434"/>
  <c r="CI434"/>
  <c r="CJ434"/>
  <c r="CK434"/>
  <c r="CL434"/>
  <c r="CM434"/>
  <c r="CN434"/>
  <c r="CO434"/>
  <c r="CP434"/>
  <c r="CQ434"/>
  <c r="CR434"/>
  <c r="CS434"/>
  <c r="CT434"/>
  <c r="CU434"/>
  <c r="CV434"/>
  <c r="CW434"/>
  <c r="CX434"/>
  <c r="CY434"/>
  <c r="CZ434"/>
  <c r="DA434"/>
  <c r="DB434"/>
  <c r="DC434"/>
  <c r="DD434"/>
  <c r="DE434"/>
  <c r="DF434"/>
  <c r="DG434"/>
  <c r="DH434"/>
  <c r="DI434"/>
  <c r="DJ434"/>
  <c r="DK434"/>
  <c r="DL434"/>
  <c r="DM434"/>
  <c r="DN434"/>
  <c r="DO434"/>
  <c r="DP434"/>
  <c r="DQ434"/>
  <c r="DR434"/>
  <c r="DS434"/>
  <c r="DT434"/>
  <c r="DU434"/>
  <c r="BX435"/>
  <c r="BY435"/>
  <c r="BZ435"/>
  <c r="CA435"/>
  <c r="CB435"/>
  <c r="CC435"/>
  <c r="CD435"/>
  <c r="CE435"/>
  <c r="CF435"/>
  <c r="CG435"/>
  <c r="CH435"/>
  <c r="CI435"/>
  <c r="CJ435"/>
  <c r="CK435"/>
  <c r="CL435"/>
  <c r="CM435"/>
  <c r="CN435"/>
  <c r="CO435"/>
  <c r="CP435"/>
  <c r="CQ435"/>
  <c r="CR435"/>
  <c r="CS435"/>
  <c r="CT435"/>
  <c r="CU435"/>
  <c r="CV435"/>
  <c r="CW435"/>
  <c r="CX435"/>
  <c r="CY435"/>
  <c r="CZ435"/>
  <c r="DA435"/>
  <c r="DB435"/>
  <c r="DC435"/>
  <c r="DD435"/>
  <c r="DE435"/>
  <c r="DF435"/>
  <c r="DG435"/>
  <c r="DH435"/>
  <c r="DI435"/>
  <c r="DJ435"/>
  <c r="DK435"/>
  <c r="DL435"/>
  <c r="DM435"/>
  <c r="DN435"/>
  <c r="DO435"/>
  <c r="DP435"/>
  <c r="DQ435"/>
  <c r="DR435"/>
  <c r="DS435"/>
  <c r="DT435"/>
  <c r="DU435"/>
  <c r="BX405"/>
  <c r="BY405"/>
  <c r="BZ405"/>
  <c r="CA405"/>
  <c r="CB405"/>
  <c r="CC405"/>
  <c r="CD405"/>
  <c r="CE405"/>
  <c r="CF405"/>
  <c r="CG405"/>
  <c r="CH405"/>
  <c r="CI405"/>
  <c r="CJ405"/>
  <c r="CK405"/>
  <c r="CL405"/>
  <c r="CM405"/>
  <c r="CN405"/>
  <c r="CO405"/>
  <c r="CP405"/>
  <c r="CQ405"/>
  <c r="CR405"/>
  <c r="CS405"/>
  <c r="CT405"/>
  <c r="CU405"/>
  <c r="CV405"/>
  <c r="CW405"/>
  <c r="CX405"/>
  <c r="CY405"/>
  <c r="CZ405"/>
  <c r="DA405"/>
  <c r="DB405"/>
  <c r="DC405"/>
  <c r="DD405"/>
  <c r="DE405"/>
  <c r="DF405"/>
  <c r="DG405"/>
  <c r="DH405"/>
  <c r="DI405"/>
  <c r="DJ405"/>
  <c r="DK405"/>
  <c r="DL405"/>
  <c r="DM405"/>
  <c r="DN405"/>
  <c r="DO405"/>
  <c r="DP405"/>
  <c r="DQ405"/>
  <c r="DR405"/>
  <c r="DS405"/>
  <c r="DT405"/>
  <c r="DU405"/>
  <c r="BX406"/>
  <c r="BY406"/>
  <c r="BZ406"/>
  <c r="CA406"/>
  <c r="CB406"/>
  <c r="CC406"/>
  <c r="CD406"/>
  <c r="CE406"/>
  <c r="CF406"/>
  <c r="CG406"/>
  <c r="CH406"/>
  <c r="CI406"/>
  <c r="CJ406"/>
  <c r="CK406"/>
  <c r="CL406"/>
  <c r="CM406"/>
  <c r="CN406"/>
  <c r="CO406"/>
  <c r="CP406"/>
  <c r="CQ406"/>
  <c r="CR406"/>
  <c r="CS406"/>
  <c r="CT406"/>
  <c r="CU406"/>
  <c r="CV406"/>
  <c r="CW406"/>
  <c r="CX406"/>
  <c r="CY406"/>
  <c r="CZ406"/>
  <c r="DA406"/>
  <c r="DB406"/>
  <c r="DC406"/>
  <c r="DD406"/>
  <c r="DE406"/>
  <c r="DF406"/>
  <c r="DG406"/>
  <c r="DH406"/>
  <c r="DI406"/>
  <c r="DJ406"/>
  <c r="DK406"/>
  <c r="DL406"/>
  <c r="DM406"/>
  <c r="DN406"/>
  <c r="DO406"/>
  <c r="DP406"/>
  <c r="DQ406"/>
  <c r="DR406"/>
  <c r="DS406"/>
  <c r="DT406"/>
  <c r="DU406"/>
  <c r="BX376"/>
  <c r="BY376"/>
  <c r="BZ376"/>
  <c r="CA376"/>
  <c r="CB376"/>
  <c r="CC376"/>
  <c r="CD376"/>
  <c r="CE376"/>
  <c r="CF376"/>
  <c r="CG376"/>
  <c r="CH376"/>
  <c r="CI376"/>
  <c r="CJ376"/>
  <c r="CK376"/>
  <c r="CL376"/>
  <c r="CM376"/>
  <c r="CN376"/>
  <c r="CO376"/>
  <c r="CP376"/>
  <c r="CQ376"/>
  <c r="CR376"/>
  <c r="CS376"/>
  <c r="CT376"/>
  <c r="CU376"/>
  <c r="CV376"/>
  <c r="CW376"/>
  <c r="CX376"/>
  <c r="CY376"/>
  <c r="CZ376"/>
  <c r="DA376"/>
  <c r="DB376"/>
  <c r="DC376"/>
  <c r="DD376"/>
  <c r="DE376"/>
  <c r="DF376"/>
  <c r="DG376"/>
  <c r="DH376"/>
  <c r="DI376"/>
  <c r="DJ376"/>
  <c r="DK376"/>
  <c r="DL376"/>
  <c r="DM376"/>
  <c r="DN376"/>
  <c r="DO376"/>
  <c r="DP376"/>
  <c r="DQ376"/>
  <c r="DR376"/>
  <c r="DS376"/>
  <c r="DT376"/>
  <c r="DU376"/>
  <c r="BX377"/>
  <c r="BY377"/>
  <c r="BZ377"/>
  <c r="CA377"/>
  <c r="CB377"/>
  <c r="CC377"/>
  <c r="CD377"/>
  <c r="CE377"/>
  <c r="CF377"/>
  <c r="CG377"/>
  <c r="CH377"/>
  <c r="CI377"/>
  <c r="CJ377"/>
  <c r="CK377"/>
  <c r="CL377"/>
  <c r="CM377"/>
  <c r="CN377"/>
  <c r="CO377"/>
  <c r="CP377"/>
  <c r="CQ377"/>
  <c r="CR377"/>
  <c r="CS377"/>
  <c r="CT377"/>
  <c r="CU377"/>
  <c r="CV377"/>
  <c r="CW377"/>
  <c r="CX377"/>
  <c r="CY377"/>
  <c r="CZ377"/>
  <c r="DA377"/>
  <c r="DB377"/>
  <c r="DC377"/>
  <c r="DD377"/>
  <c r="DE377"/>
  <c r="DF377"/>
  <c r="DG377"/>
  <c r="DH377"/>
  <c r="DI377"/>
  <c r="DJ377"/>
  <c r="DK377"/>
  <c r="DL377"/>
  <c r="DM377"/>
  <c r="DN377"/>
  <c r="DO377"/>
  <c r="DP377"/>
  <c r="DQ377"/>
  <c r="DR377"/>
  <c r="DS377"/>
  <c r="DT377"/>
  <c r="DU377"/>
  <c r="BX347"/>
  <c r="BY347"/>
  <c r="BZ347"/>
  <c r="CA347"/>
  <c r="CB347"/>
  <c r="CC347"/>
  <c r="CD347"/>
  <c r="CE347"/>
  <c r="CF347"/>
  <c r="CG347"/>
  <c r="CH347"/>
  <c r="CI347"/>
  <c r="CJ347"/>
  <c r="CK347"/>
  <c r="CL347"/>
  <c r="CM347"/>
  <c r="CN347"/>
  <c r="CO347"/>
  <c r="CP347"/>
  <c r="CQ347"/>
  <c r="CR347"/>
  <c r="CS347"/>
  <c r="CT347"/>
  <c r="CU347"/>
  <c r="CV347"/>
  <c r="CW347"/>
  <c r="CX347"/>
  <c r="CY347"/>
  <c r="CZ347"/>
  <c r="DA347"/>
  <c r="DB347"/>
  <c r="DC347"/>
  <c r="DD347"/>
  <c r="DE347"/>
  <c r="DF347"/>
  <c r="DG347"/>
  <c r="DH347"/>
  <c r="DI347"/>
  <c r="DJ347"/>
  <c r="DK347"/>
  <c r="DL347"/>
  <c r="DM347"/>
  <c r="DN347"/>
  <c r="DO347"/>
  <c r="DP347"/>
  <c r="DQ347"/>
  <c r="DR347"/>
  <c r="DS347"/>
  <c r="DT347"/>
  <c r="DU347"/>
  <c r="BX348"/>
  <c r="BY348"/>
  <c r="BZ348"/>
  <c r="CA348"/>
  <c r="CB348"/>
  <c r="CC348"/>
  <c r="CD348"/>
  <c r="CE348"/>
  <c r="CF348"/>
  <c r="CG348"/>
  <c r="CH348"/>
  <c r="CI348"/>
  <c r="CJ348"/>
  <c r="CK348"/>
  <c r="CL348"/>
  <c r="CM348"/>
  <c r="CN348"/>
  <c r="CO348"/>
  <c r="CP348"/>
  <c r="CQ348"/>
  <c r="CR348"/>
  <c r="CS348"/>
  <c r="CT348"/>
  <c r="CU348"/>
  <c r="CV348"/>
  <c r="CW348"/>
  <c r="CX348"/>
  <c r="CY348"/>
  <c r="CZ348"/>
  <c r="DA348"/>
  <c r="DB348"/>
  <c r="DC348"/>
  <c r="DD348"/>
  <c r="DE348"/>
  <c r="DF348"/>
  <c r="DG348"/>
  <c r="DH348"/>
  <c r="DI348"/>
  <c r="DJ348"/>
  <c r="DK348"/>
  <c r="DL348"/>
  <c r="DM348"/>
  <c r="DN348"/>
  <c r="DO348"/>
  <c r="DP348"/>
  <c r="DQ348"/>
  <c r="DR348"/>
  <c r="DS348"/>
  <c r="DT348"/>
  <c r="DU348"/>
  <c r="BX318"/>
  <c r="BY318"/>
  <c r="BZ318"/>
  <c r="CA318"/>
  <c r="CB318"/>
  <c r="CC318"/>
  <c r="CD318"/>
  <c r="CE318"/>
  <c r="CF318"/>
  <c r="CG318"/>
  <c r="CH318"/>
  <c r="CI318"/>
  <c r="CJ318"/>
  <c r="CK318"/>
  <c r="CL318"/>
  <c r="CM318"/>
  <c r="CN318"/>
  <c r="CO318"/>
  <c r="CP318"/>
  <c r="CQ318"/>
  <c r="CR318"/>
  <c r="CS318"/>
  <c r="CT318"/>
  <c r="CU318"/>
  <c r="CV318"/>
  <c r="CW318"/>
  <c r="CX318"/>
  <c r="CY318"/>
  <c r="CZ318"/>
  <c r="DA318"/>
  <c r="DB318"/>
  <c r="DC318"/>
  <c r="DD318"/>
  <c r="DE318"/>
  <c r="DF318"/>
  <c r="DG318"/>
  <c r="DH318"/>
  <c r="DI318"/>
  <c r="DJ318"/>
  <c r="DK318"/>
  <c r="DL318"/>
  <c r="DM318"/>
  <c r="DN318"/>
  <c r="DO318"/>
  <c r="DP318"/>
  <c r="DQ318"/>
  <c r="DR318"/>
  <c r="DS318"/>
  <c r="DT318"/>
  <c r="DU318"/>
  <c r="BX319"/>
  <c r="BY319"/>
  <c r="BZ319"/>
  <c r="CA319"/>
  <c r="CB319"/>
  <c r="CC319"/>
  <c r="CD319"/>
  <c r="CE319"/>
  <c r="CF319"/>
  <c r="CG319"/>
  <c r="CH319"/>
  <c r="CI319"/>
  <c r="CJ319"/>
  <c r="CK319"/>
  <c r="CL319"/>
  <c r="CM319"/>
  <c r="CN319"/>
  <c r="CO319"/>
  <c r="CP319"/>
  <c r="CQ319"/>
  <c r="CR319"/>
  <c r="CS319"/>
  <c r="CT319"/>
  <c r="CU319"/>
  <c r="CV319"/>
  <c r="CW319"/>
  <c r="CX319"/>
  <c r="CY319"/>
  <c r="CZ319"/>
  <c r="DA319"/>
  <c r="DB319"/>
  <c r="DC319"/>
  <c r="DD319"/>
  <c r="DE319"/>
  <c r="DF319"/>
  <c r="DG319"/>
  <c r="DH319"/>
  <c r="DI319"/>
  <c r="DJ319"/>
  <c r="DK319"/>
  <c r="DL319"/>
  <c r="DM319"/>
  <c r="DN319"/>
  <c r="DO319"/>
  <c r="DP319"/>
  <c r="DQ319"/>
  <c r="DR319"/>
  <c r="DS319"/>
  <c r="DT319"/>
  <c r="DU319"/>
  <c r="BX289"/>
  <c r="BY289"/>
  <c r="BZ289"/>
  <c r="CA289"/>
  <c r="CB289"/>
  <c r="CC289"/>
  <c r="CD289"/>
  <c r="CE289"/>
  <c r="CF289"/>
  <c r="CG289"/>
  <c r="CH289"/>
  <c r="CI289"/>
  <c r="CJ289"/>
  <c r="CK289"/>
  <c r="CL289"/>
  <c r="CM289"/>
  <c r="CN289"/>
  <c r="CO289"/>
  <c r="CP289"/>
  <c r="CQ289"/>
  <c r="CR289"/>
  <c r="CS289"/>
  <c r="CT289"/>
  <c r="CU289"/>
  <c r="CV289"/>
  <c r="CW289"/>
  <c r="CX289"/>
  <c r="CY289"/>
  <c r="CZ289"/>
  <c r="DA289"/>
  <c r="DB289"/>
  <c r="DC289"/>
  <c r="DD289"/>
  <c r="DE289"/>
  <c r="DF289"/>
  <c r="DG289"/>
  <c r="DH289"/>
  <c r="DI289"/>
  <c r="DJ289"/>
  <c r="DK289"/>
  <c r="DL289"/>
  <c r="DM289"/>
  <c r="DN289"/>
  <c r="DO289"/>
  <c r="DP289"/>
  <c r="DQ289"/>
  <c r="DR289"/>
  <c r="DS289"/>
  <c r="DT289"/>
  <c r="DU289"/>
  <c r="BX290"/>
  <c r="BY290"/>
  <c r="BZ290"/>
  <c r="CA290"/>
  <c r="CB290"/>
  <c r="CC290"/>
  <c r="CD290"/>
  <c r="CE290"/>
  <c r="CF290"/>
  <c r="CG290"/>
  <c r="CH290"/>
  <c r="CI290"/>
  <c r="CJ290"/>
  <c r="CK290"/>
  <c r="CL290"/>
  <c r="CM290"/>
  <c r="CN290"/>
  <c r="CO290"/>
  <c r="CP290"/>
  <c r="CQ290"/>
  <c r="CR290"/>
  <c r="CS290"/>
  <c r="CT290"/>
  <c r="CU290"/>
  <c r="CV290"/>
  <c r="CW290"/>
  <c r="CX290"/>
  <c r="CY290"/>
  <c r="CZ290"/>
  <c r="DA290"/>
  <c r="DB290"/>
  <c r="DC290"/>
  <c r="DD290"/>
  <c r="DE290"/>
  <c r="DF290"/>
  <c r="DG290"/>
  <c r="DH290"/>
  <c r="DI290"/>
  <c r="DJ290"/>
  <c r="DK290"/>
  <c r="DL290"/>
  <c r="DM290"/>
  <c r="DN290"/>
  <c r="DO290"/>
  <c r="DP290"/>
  <c r="DQ290"/>
  <c r="DR290"/>
  <c r="DS290"/>
  <c r="DT290"/>
  <c r="DU290"/>
  <c r="BX260"/>
  <c r="BY260"/>
  <c r="BZ260"/>
  <c r="CA260"/>
  <c r="CB260"/>
  <c r="CC260"/>
  <c r="CD260"/>
  <c r="CE260"/>
  <c r="CF260"/>
  <c r="CG260"/>
  <c r="CH260"/>
  <c r="CI260"/>
  <c r="CJ260"/>
  <c r="CK260"/>
  <c r="CL260"/>
  <c r="CM260"/>
  <c r="CN260"/>
  <c r="CO260"/>
  <c r="CP260"/>
  <c r="CQ260"/>
  <c r="CR260"/>
  <c r="CS260"/>
  <c r="CT260"/>
  <c r="CU260"/>
  <c r="CV260"/>
  <c r="CW260"/>
  <c r="CX260"/>
  <c r="CY260"/>
  <c r="CZ260"/>
  <c r="DA260"/>
  <c r="DB260"/>
  <c r="DC260"/>
  <c r="DD260"/>
  <c r="DE260"/>
  <c r="DF260"/>
  <c r="DG260"/>
  <c r="DH260"/>
  <c r="DI260"/>
  <c r="DJ260"/>
  <c r="DK260"/>
  <c r="DL260"/>
  <c r="DM260"/>
  <c r="DN260"/>
  <c r="DO260"/>
  <c r="DP260"/>
  <c r="DQ260"/>
  <c r="DR260"/>
  <c r="DS260"/>
  <c r="DT260"/>
  <c r="DU260"/>
  <c r="BX261"/>
  <c r="BY261"/>
  <c r="BZ261"/>
  <c r="CA261"/>
  <c r="CB261"/>
  <c r="CC261"/>
  <c r="CD261"/>
  <c r="CE261"/>
  <c r="CF261"/>
  <c r="CG261"/>
  <c r="CH261"/>
  <c r="CI261"/>
  <c r="CJ261"/>
  <c r="CK261"/>
  <c r="CL261"/>
  <c r="CM261"/>
  <c r="CN261"/>
  <c r="CO261"/>
  <c r="CP261"/>
  <c r="CQ261"/>
  <c r="CR261"/>
  <c r="CS261"/>
  <c r="CT261"/>
  <c r="CU261"/>
  <c r="CV261"/>
  <c r="CW261"/>
  <c r="CX261"/>
  <c r="CY261"/>
  <c r="CZ261"/>
  <c r="DA261"/>
  <c r="DB261"/>
  <c r="DC261"/>
  <c r="DD261"/>
  <c r="DE261"/>
  <c r="DF261"/>
  <c r="DG261"/>
  <c r="DH261"/>
  <c r="DI261"/>
  <c r="DJ261"/>
  <c r="DK261"/>
  <c r="DL261"/>
  <c r="DM261"/>
  <c r="DN261"/>
  <c r="DO261"/>
  <c r="DP261"/>
  <c r="DQ261"/>
  <c r="DR261"/>
  <c r="DS261"/>
  <c r="DT261"/>
  <c r="DU261"/>
  <c r="BX231"/>
  <c r="BY231"/>
  <c r="BZ231"/>
  <c r="CA231"/>
  <c r="CB231"/>
  <c r="CC231"/>
  <c r="CD231"/>
  <c r="CE231"/>
  <c r="CF231"/>
  <c r="CG231"/>
  <c r="CH231"/>
  <c r="CI231"/>
  <c r="CJ231"/>
  <c r="CK231"/>
  <c r="CL231"/>
  <c r="CM231"/>
  <c r="CN231"/>
  <c r="CO231"/>
  <c r="CP231"/>
  <c r="CQ231"/>
  <c r="CR231"/>
  <c r="CS231"/>
  <c r="CT231"/>
  <c r="CU231"/>
  <c r="CV231"/>
  <c r="CW231"/>
  <c r="CX231"/>
  <c r="CY231"/>
  <c r="CZ231"/>
  <c r="DA231"/>
  <c r="DB231"/>
  <c r="DC231"/>
  <c r="DD231"/>
  <c r="DE231"/>
  <c r="DF231"/>
  <c r="DG231"/>
  <c r="DH231"/>
  <c r="DI231"/>
  <c r="DJ231"/>
  <c r="DK231"/>
  <c r="DL231"/>
  <c r="DM231"/>
  <c r="DN231"/>
  <c r="DO231"/>
  <c r="DP231"/>
  <c r="DQ231"/>
  <c r="DR231"/>
  <c r="DS231"/>
  <c r="DT231"/>
  <c r="DU231"/>
  <c r="BX232"/>
  <c r="BY232"/>
  <c r="BZ232"/>
  <c r="CA232"/>
  <c r="CB232"/>
  <c r="CC232"/>
  <c r="CD232"/>
  <c r="CE232"/>
  <c r="CF232"/>
  <c r="CG232"/>
  <c r="CH232"/>
  <c r="CI232"/>
  <c r="CJ232"/>
  <c r="CK232"/>
  <c r="CL232"/>
  <c r="CM232"/>
  <c r="CN232"/>
  <c r="CO232"/>
  <c r="CP232"/>
  <c r="CQ232"/>
  <c r="CR232"/>
  <c r="CS232"/>
  <c r="CT232"/>
  <c r="CU232"/>
  <c r="CV232"/>
  <c r="CW232"/>
  <c r="CX232"/>
  <c r="CY232"/>
  <c r="CZ232"/>
  <c r="DA232"/>
  <c r="DB232"/>
  <c r="DC232"/>
  <c r="DD232"/>
  <c r="DE232"/>
  <c r="DF232"/>
  <c r="DG232"/>
  <c r="DH232"/>
  <c r="DI232"/>
  <c r="DJ232"/>
  <c r="DK232"/>
  <c r="DL232"/>
  <c r="DM232"/>
  <c r="DN232"/>
  <c r="DO232"/>
  <c r="DP232"/>
  <c r="DQ232"/>
  <c r="DR232"/>
  <c r="DS232"/>
  <c r="DT232"/>
  <c r="DU232"/>
  <c r="BX202"/>
  <c r="BY202"/>
  <c r="BZ202"/>
  <c r="CA202"/>
  <c r="CB202"/>
  <c r="CC202"/>
  <c r="CD202"/>
  <c r="CE202"/>
  <c r="CF202"/>
  <c r="CG202"/>
  <c r="CH202"/>
  <c r="CI202"/>
  <c r="CJ202"/>
  <c r="CK202"/>
  <c r="CL202"/>
  <c r="CM202"/>
  <c r="CN202"/>
  <c r="CO202"/>
  <c r="CP202"/>
  <c r="CQ202"/>
  <c r="CR202"/>
  <c r="CS202"/>
  <c r="CT202"/>
  <c r="CU202"/>
  <c r="CV202"/>
  <c r="CW202"/>
  <c r="CX202"/>
  <c r="CY202"/>
  <c r="CZ202"/>
  <c r="DA202"/>
  <c r="DB202"/>
  <c r="DC202"/>
  <c r="DD202"/>
  <c r="DE202"/>
  <c r="DF202"/>
  <c r="DG202"/>
  <c r="DH202"/>
  <c r="DI202"/>
  <c r="DJ202"/>
  <c r="DK202"/>
  <c r="DL202"/>
  <c r="DM202"/>
  <c r="DN202"/>
  <c r="DO202"/>
  <c r="DP202"/>
  <c r="DQ202"/>
  <c r="DR202"/>
  <c r="DS202"/>
  <c r="DT202"/>
  <c r="DU202"/>
  <c r="BX203"/>
  <c r="BY203"/>
  <c r="BZ203"/>
  <c r="CA203"/>
  <c r="CB203"/>
  <c r="CC203"/>
  <c r="CD203"/>
  <c r="CE203"/>
  <c r="CF203"/>
  <c r="CG203"/>
  <c r="CH203"/>
  <c r="CI203"/>
  <c r="CJ203"/>
  <c r="CK203"/>
  <c r="CL203"/>
  <c r="CM203"/>
  <c r="CN203"/>
  <c r="CO203"/>
  <c r="CP203"/>
  <c r="CQ203"/>
  <c r="CR203"/>
  <c r="CS203"/>
  <c r="CT203"/>
  <c r="CU203"/>
  <c r="CV203"/>
  <c r="CW203"/>
  <c r="CX203"/>
  <c r="CY203"/>
  <c r="CZ203"/>
  <c r="DA203"/>
  <c r="DB203"/>
  <c r="DC203"/>
  <c r="DD203"/>
  <c r="DE203"/>
  <c r="DF203"/>
  <c r="DG203"/>
  <c r="DH203"/>
  <c r="DI203"/>
  <c r="DJ203"/>
  <c r="DK203"/>
  <c r="DL203"/>
  <c r="DM203"/>
  <c r="DN203"/>
  <c r="DO203"/>
  <c r="DP203"/>
  <c r="DQ203"/>
  <c r="DR203"/>
  <c r="DS203"/>
  <c r="DT203"/>
  <c r="DU203"/>
  <c r="BX173"/>
  <c r="BY173"/>
  <c r="BZ173"/>
  <c r="CA173"/>
  <c r="CB173"/>
  <c r="CC173"/>
  <c r="CD173"/>
  <c r="CE173"/>
  <c r="CF173"/>
  <c r="CG173"/>
  <c r="CH173"/>
  <c r="CI173"/>
  <c r="CJ173"/>
  <c r="CK173"/>
  <c r="CL173"/>
  <c r="CM173"/>
  <c r="CN173"/>
  <c r="CO173"/>
  <c r="CP173"/>
  <c r="CQ173"/>
  <c r="CR173"/>
  <c r="CS173"/>
  <c r="CT173"/>
  <c r="CU173"/>
  <c r="CV173"/>
  <c r="CW173"/>
  <c r="CX173"/>
  <c r="CY173"/>
  <c r="CZ173"/>
  <c r="DA173"/>
  <c r="DB173"/>
  <c r="DC173"/>
  <c r="DD173"/>
  <c r="DE173"/>
  <c r="DF173"/>
  <c r="DG173"/>
  <c r="DH173"/>
  <c r="DI173"/>
  <c r="DJ173"/>
  <c r="DK173"/>
  <c r="DL173"/>
  <c r="DM173"/>
  <c r="DN173"/>
  <c r="DO173"/>
  <c r="DP173"/>
  <c r="DQ173"/>
  <c r="DR173"/>
  <c r="DS173"/>
  <c r="DT173"/>
  <c r="DU173"/>
  <c r="BX174"/>
  <c r="BY174"/>
  <c r="BZ174"/>
  <c r="CA174"/>
  <c r="CB174"/>
  <c r="CC174"/>
  <c r="CD174"/>
  <c r="CE174"/>
  <c r="CF174"/>
  <c r="CG174"/>
  <c r="CH174"/>
  <c r="CI174"/>
  <c r="CJ174"/>
  <c r="CK174"/>
  <c r="CL174"/>
  <c r="CM174"/>
  <c r="CN174"/>
  <c r="CO174"/>
  <c r="CP174"/>
  <c r="CQ174"/>
  <c r="CR174"/>
  <c r="CS174"/>
  <c r="CT174"/>
  <c r="CU174"/>
  <c r="CV174"/>
  <c r="CW174"/>
  <c r="CX174"/>
  <c r="CY174"/>
  <c r="CZ174"/>
  <c r="DA174"/>
  <c r="DB174"/>
  <c r="DC174"/>
  <c r="DD174"/>
  <c r="DE174"/>
  <c r="DF174"/>
  <c r="DG174"/>
  <c r="DH174"/>
  <c r="DI174"/>
  <c r="DJ174"/>
  <c r="DK174"/>
  <c r="DL174"/>
  <c r="DM174"/>
  <c r="DN174"/>
  <c r="DO174"/>
  <c r="DP174"/>
  <c r="DQ174"/>
  <c r="DR174"/>
  <c r="DS174"/>
  <c r="DT174"/>
  <c r="DU174"/>
  <c r="BX144"/>
  <c r="BY144"/>
  <c r="BZ144"/>
  <c r="CA144"/>
  <c r="CB144"/>
  <c r="CC144"/>
  <c r="CD144"/>
  <c r="CE144"/>
  <c r="CF144"/>
  <c r="CG144"/>
  <c r="CH144"/>
  <c r="CI144"/>
  <c r="CJ144"/>
  <c r="CK144"/>
  <c r="CL144"/>
  <c r="CM144"/>
  <c r="CN144"/>
  <c r="CO144"/>
  <c r="CP144"/>
  <c r="CQ144"/>
  <c r="CR144"/>
  <c r="CS144"/>
  <c r="CT144"/>
  <c r="CU144"/>
  <c r="CV144"/>
  <c r="CW144"/>
  <c r="CX144"/>
  <c r="CY144"/>
  <c r="CZ144"/>
  <c r="DA144"/>
  <c r="DB144"/>
  <c r="DC144"/>
  <c r="DD144"/>
  <c r="DE144"/>
  <c r="DF144"/>
  <c r="DG144"/>
  <c r="DH144"/>
  <c r="DI144"/>
  <c r="DJ144"/>
  <c r="DK144"/>
  <c r="DL144"/>
  <c r="DM144"/>
  <c r="DN144"/>
  <c r="DO144"/>
  <c r="DP144"/>
  <c r="DQ144"/>
  <c r="DR144"/>
  <c r="DS144"/>
  <c r="DT144"/>
  <c r="DU144"/>
  <c r="BX145"/>
  <c r="BY145"/>
  <c r="BZ145"/>
  <c r="CA145"/>
  <c r="CB145"/>
  <c r="CC145"/>
  <c r="CD145"/>
  <c r="CE145"/>
  <c r="CF145"/>
  <c r="CG145"/>
  <c r="CH145"/>
  <c r="CI145"/>
  <c r="CJ145"/>
  <c r="CK145"/>
  <c r="CL145"/>
  <c r="CM145"/>
  <c r="CN145"/>
  <c r="CO145"/>
  <c r="CP145"/>
  <c r="CQ145"/>
  <c r="CR145"/>
  <c r="CS145"/>
  <c r="CT145"/>
  <c r="CU145"/>
  <c r="CV145"/>
  <c r="CW145"/>
  <c r="CX145"/>
  <c r="CY145"/>
  <c r="CZ145"/>
  <c r="DA145"/>
  <c r="DB145"/>
  <c r="DC145"/>
  <c r="DD145"/>
  <c r="DE145"/>
  <c r="DF145"/>
  <c r="DG145"/>
  <c r="DH145"/>
  <c r="DI145"/>
  <c r="DJ145"/>
  <c r="DK145"/>
  <c r="DL145"/>
  <c r="DM145"/>
  <c r="DN145"/>
  <c r="DO145"/>
  <c r="DP145"/>
  <c r="DQ145"/>
  <c r="DR145"/>
  <c r="DS145"/>
  <c r="DT145"/>
  <c r="DU145"/>
  <c r="BX115"/>
  <c r="BY115"/>
  <c r="BZ115"/>
  <c r="CA115"/>
  <c r="CB115"/>
  <c r="CC115"/>
  <c r="CD115"/>
  <c r="CE115"/>
  <c r="CF115"/>
  <c r="CG115"/>
  <c r="CH115"/>
  <c r="CI115"/>
  <c r="CJ115"/>
  <c r="CK115"/>
  <c r="CL115"/>
  <c r="CM115"/>
  <c r="CN115"/>
  <c r="CO115"/>
  <c r="CP115"/>
  <c r="CQ115"/>
  <c r="CR115"/>
  <c r="CS115"/>
  <c r="CT115"/>
  <c r="CU115"/>
  <c r="CV115"/>
  <c r="CW115"/>
  <c r="CX115"/>
  <c r="CY115"/>
  <c r="CZ115"/>
  <c r="DA115"/>
  <c r="DB115"/>
  <c r="DC115"/>
  <c r="DD115"/>
  <c r="DE115"/>
  <c r="DF115"/>
  <c r="DG115"/>
  <c r="DH115"/>
  <c r="DI115"/>
  <c r="DJ115"/>
  <c r="DK115"/>
  <c r="DL115"/>
  <c r="DM115"/>
  <c r="DN115"/>
  <c r="DO115"/>
  <c r="DP115"/>
  <c r="DQ115"/>
  <c r="DR115"/>
  <c r="DS115"/>
  <c r="DT115"/>
  <c r="DU115"/>
  <c r="BX116"/>
  <c r="BY116"/>
  <c r="BZ116"/>
  <c r="CA116"/>
  <c r="CB116"/>
  <c r="CC116"/>
  <c r="CD116"/>
  <c r="CE116"/>
  <c r="CF116"/>
  <c r="CG116"/>
  <c r="CH116"/>
  <c r="CI116"/>
  <c r="CJ116"/>
  <c r="CK116"/>
  <c r="CL116"/>
  <c r="CM116"/>
  <c r="CN116"/>
  <c r="CO116"/>
  <c r="CP116"/>
  <c r="CQ116"/>
  <c r="CR116"/>
  <c r="CS116"/>
  <c r="CT116"/>
  <c r="CU116"/>
  <c r="CV116"/>
  <c r="CW116"/>
  <c r="CX116"/>
  <c r="CY116"/>
  <c r="CZ116"/>
  <c r="DA116"/>
  <c r="DB116"/>
  <c r="DC116"/>
  <c r="DD116"/>
  <c r="DE116"/>
  <c r="DF116"/>
  <c r="DG116"/>
  <c r="DH116"/>
  <c r="DI116"/>
  <c r="DJ116"/>
  <c r="DK116"/>
  <c r="DL116"/>
  <c r="DM116"/>
  <c r="DN116"/>
  <c r="DO116"/>
  <c r="DP116"/>
  <c r="DQ116"/>
  <c r="DR116"/>
  <c r="DS116"/>
  <c r="DT116"/>
  <c r="DU11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X86"/>
  <c r="CY86"/>
  <c r="CZ86"/>
  <c r="DA86"/>
  <c r="DB86"/>
  <c r="DC86"/>
  <c r="DD86"/>
  <c r="DE86"/>
  <c r="DF86"/>
  <c r="DG86"/>
  <c r="DH86"/>
  <c r="DI86"/>
  <c r="DJ86"/>
  <c r="DK86"/>
  <c r="DL86"/>
  <c r="DM86"/>
  <c r="DN86"/>
  <c r="DO86"/>
  <c r="DP86"/>
  <c r="DQ86"/>
  <c r="DR86"/>
  <c r="DS86"/>
  <c r="DT86"/>
  <c r="DU86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X87"/>
  <c r="CY87"/>
  <c r="CZ87"/>
  <c r="DA87"/>
  <c r="DB87"/>
  <c r="DC87"/>
  <c r="DD87"/>
  <c r="DE87"/>
  <c r="DF87"/>
  <c r="DG87"/>
  <c r="DH87"/>
  <c r="DI87"/>
  <c r="DJ87"/>
  <c r="DK87"/>
  <c r="DL87"/>
  <c r="DM87"/>
  <c r="DN87"/>
  <c r="DO87"/>
  <c r="DP87"/>
  <c r="DQ87"/>
  <c r="DR87"/>
  <c r="DS87"/>
  <c r="DT87"/>
  <c r="DU87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H810" l="1"/>
  <c r="S31" i="3"/>
  <c r="S124" s="1"/>
  <c r="S72"/>
  <c r="V810" i="2"/>
  <c r="X810"/>
  <c r="U810"/>
  <c r="W810"/>
  <c r="BH731"/>
  <c r="E14" i="16"/>
  <c r="E13"/>
  <c r="G13" s="1"/>
  <c r="BH741" i="2"/>
  <c r="BH739"/>
  <c r="BH737"/>
  <c r="BH735"/>
  <c r="BH733"/>
  <c r="BH727"/>
  <c r="BH725"/>
  <c r="BH723"/>
  <c r="BH721"/>
  <c r="BH719"/>
  <c r="BH750"/>
  <c r="BH775" s="1"/>
  <c r="BH752"/>
  <c r="BH774" s="1"/>
  <c r="BO71" i="3"/>
  <c r="AQ30"/>
  <c r="AY775" i="2"/>
  <c r="AY744"/>
  <c r="AY713"/>
  <c r="AY682"/>
  <c r="AY651"/>
  <c r="AY620"/>
  <c r="AY589"/>
  <c r="AY559"/>
  <c r="AY528"/>
  <c r="AY497"/>
  <c r="BD743"/>
  <c r="BD744"/>
  <c r="AU743"/>
  <c r="BC260"/>
  <c r="BD260"/>
  <c r="BE260"/>
  <c r="BF260"/>
  <c r="BG260"/>
  <c r="BI260"/>
  <c r="BL260"/>
  <c r="BC261"/>
  <c r="BD261"/>
  <c r="BE261"/>
  <c r="BF261"/>
  <c r="BG261"/>
  <c r="BI261"/>
  <c r="BL261"/>
  <c r="BC231"/>
  <c r="BD231"/>
  <c r="BE231"/>
  <c r="BF231"/>
  <c r="BG231"/>
  <c r="BI231"/>
  <c r="BL231"/>
  <c r="BC232"/>
  <c r="BD232"/>
  <c r="BE232"/>
  <c r="BF232"/>
  <c r="BG232"/>
  <c r="BI232"/>
  <c r="BL232"/>
  <c r="BC202"/>
  <c r="BD202"/>
  <c r="BE202"/>
  <c r="BF202"/>
  <c r="BG202"/>
  <c r="BI202"/>
  <c r="BL202"/>
  <c r="BC203"/>
  <c r="BD203"/>
  <c r="BE203"/>
  <c r="BF203"/>
  <c r="BG203"/>
  <c r="BI203"/>
  <c r="BL203"/>
  <c r="BC173"/>
  <c r="BD173"/>
  <c r="BE173"/>
  <c r="BF173"/>
  <c r="BG173"/>
  <c r="BI173"/>
  <c r="BL173"/>
  <c r="BC174"/>
  <c r="BD174"/>
  <c r="BE174"/>
  <c r="BF174"/>
  <c r="BG174"/>
  <c r="BI174"/>
  <c r="BL174"/>
  <c r="BC144"/>
  <c r="BD144"/>
  <c r="BE144"/>
  <c r="BF144"/>
  <c r="BG144"/>
  <c r="BI144"/>
  <c r="BL144"/>
  <c r="BC145"/>
  <c r="BD145"/>
  <c r="BE145"/>
  <c r="BF145"/>
  <c r="BG145"/>
  <c r="BI145"/>
  <c r="BL145"/>
  <c r="BC115"/>
  <c r="BD115"/>
  <c r="BE115"/>
  <c r="BF115"/>
  <c r="BG115"/>
  <c r="BI115"/>
  <c r="BL115"/>
  <c r="BC116"/>
  <c r="BD116"/>
  <c r="BE116"/>
  <c r="BF116"/>
  <c r="BG116"/>
  <c r="BI116"/>
  <c r="BL116"/>
  <c r="BC86"/>
  <c r="BD86"/>
  <c r="BE86"/>
  <c r="BF86"/>
  <c r="BG86"/>
  <c r="BI86"/>
  <c r="BL86"/>
  <c r="BC87"/>
  <c r="BD87"/>
  <c r="BE87"/>
  <c r="BF87"/>
  <c r="BG87"/>
  <c r="BI87"/>
  <c r="BL87"/>
  <c r="BC57"/>
  <c r="BD57"/>
  <c r="BE57"/>
  <c r="BF57"/>
  <c r="BG57"/>
  <c r="BI57"/>
  <c r="BL57"/>
  <c r="BC58"/>
  <c r="BD58"/>
  <c r="BE58"/>
  <c r="BF58"/>
  <c r="BG58"/>
  <c r="BI58"/>
  <c r="BL58"/>
  <c r="BD28"/>
  <c r="BE28"/>
  <c r="BF28"/>
  <c r="BG28"/>
  <c r="BI28"/>
  <c r="BL28"/>
  <c r="BD29"/>
  <c r="BE29"/>
  <c r="BF29"/>
  <c r="BG29"/>
  <c r="BI29"/>
  <c r="BL29"/>
  <c r="BL772"/>
  <c r="BL770"/>
  <c r="BL768"/>
  <c r="BL766"/>
  <c r="BL764"/>
  <c r="BL762"/>
  <c r="BL760"/>
  <c r="BL758"/>
  <c r="BL756"/>
  <c r="BL754"/>
  <c r="BL752"/>
  <c r="BL750"/>
  <c r="S721"/>
  <c r="S722"/>
  <c r="S723"/>
  <c r="S724"/>
  <c r="S725"/>
  <c r="S726"/>
  <c r="S727"/>
  <c r="S728"/>
  <c r="S729"/>
  <c r="S730"/>
  <c r="S731"/>
  <c r="S732"/>
  <c r="S753"/>
  <c r="DY753" s="1"/>
  <c r="S754"/>
  <c r="S755"/>
  <c r="S756"/>
  <c r="DY758"/>
  <c r="DY759"/>
  <c r="S760"/>
  <c r="DY760" s="1"/>
  <c r="S763"/>
  <c r="S764"/>
  <c r="C778"/>
  <c r="AJ777"/>
  <c r="AI777"/>
  <c r="BA776"/>
  <c r="AJ776"/>
  <c r="AI776"/>
  <c r="AA776"/>
  <c r="BW775"/>
  <c r="BW815" s="1"/>
  <c r="BV775"/>
  <c r="BV815" s="1"/>
  <c r="BP775"/>
  <c r="BP815" s="1"/>
  <c r="BO775"/>
  <c r="BM775"/>
  <c r="BI775"/>
  <c r="BI815" s="1"/>
  <c r="BG775"/>
  <c r="BG815" s="1"/>
  <c r="BF775"/>
  <c r="BF815" s="1"/>
  <c r="BE775"/>
  <c r="BE815" s="1"/>
  <c r="BC775"/>
  <c r="BB775"/>
  <c r="BB815" s="1"/>
  <c r="BA775"/>
  <c r="BA815" s="1"/>
  <c r="AV775"/>
  <c r="AV815" s="1"/>
  <c r="AU775"/>
  <c r="AU815" s="1"/>
  <c r="AT775"/>
  <c r="AT815" s="1"/>
  <c r="AS775"/>
  <c r="AS815" s="1"/>
  <c r="AR775"/>
  <c r="AR815" s="1"/>
  <c r="AM775"/>
  <c r="AL775"/>
  <c r="AJ775"/>
  <c r="AI775"/>
  <c r="AH775"/>
  <c r="AG775"/>
  <c r="AD775"/>
  <c r="AC775"/>
  <c r="AE775" s="1"/>
  <c r="AA775"/>
  <c r="Z775"/>
  <c r="X775"/>
  <c r="W775"/>
  <c r="V775"/>
  <c r="U775"/>
  <c r="T775"/>
  <c r="R775"/>
  <c r="Q775"/>
  <c r="P775"/>
  <c r="P815" s="1"/>
  <c r="O775"/>
  <c r="N775"/>
  <c r="M775"/>
  <c r="L775"/>
  <c r="K775"/>
  <c r="J775"/>
  <c r="I775"/>
  <c r="H775"/>
  <c r="G775"/>
  <c r="F775"/>
  <c r="E775"/>
  <c r="D775"/>
  <c r="C775"/>
  <c r="BW774"/>
  <c r="BW814" s="1"/>
  <c r="BV774"/>
  <c r="BV814" s="1"/>
  <c r="BP774"/>
  <c r="BP814" s="1"/>
  <c r="BO774"/>
  <c r="BM774"/>
  <c r="BI774"/>
  <c r="BI814" s="1"/>
  <c r="BG774"/>
  <c r="BG814" s="1"/>
  <c r="BF774"/>
  <c r="BF814" s="1"/>
  <c r="BE774"/>
  <c r="BE814" s="1"/>
  <c r="BC774"/>
  <c r="BB774"/>
  <c r="BB814" s="1"/>
  <c r="BA774"/>
  <c r="BA814" s="1"/>
  <c r="AV774"/>
  <c r="AV814" s="1"/>
  <c r="AU774"/>
  <c r="AU814" s="1"/>
  <c r="AT774"/>
  <c r="AT814" s="1"/>
  <c r="AS774"/>
  <c r="AS814" s="1"/>
  <c r="AR774"/>
  <c r="AR814" s="1"/>
  <c r="AM774"/>
  <c r="AL774"/>
  <c r="AJ774"/>
  <c r="AI774"/>
  <c r="AH774"/>
  <c r="AG774"/>
  <c r="AD774"/>
  <c r="AC774"/>
  <c r="AA774"/>
  <c r="Z774"/>
  <c r="X774"/>
  <c r="W774"/>
  <c r="V774"/>
  <c r="U774"/>
  <c r="T774"/>
  <c r="R774"/>
  <c r="Q774"/>
  <c r="P774"/>
  <c r="P814" s="1"/>
  <c r="O774"/>
  <c r="N774"/>
  <c r="M774"/>
  <c r="L774"/>
  <c r="K774"/>
  <c r="J774"/>
  <c r="I774"/>
  <c r="H774"/>
  <c r="G774"/>
  <c r="F774"/>
  <c r="E774"/>
  <c r="D774"/>
  <c r="C774"/>
  <c r="DV773"/>
  <c r="AE773"/>
  <c r="S773"/>
  <c r="DY773" s="1"/>
  <c r="DV772"/>
  <c r="AE772"/>
  <c r="S772"/>
  <c r="DY772" s="1"/>
  <c r="DV771"/>
  <c r="AE771"/>
  <c r="S771"/>
  <c r="DY771" s="1"/>
  <c r="DV770"/>
  <c r="AE770"/>
  <c r="S770"/>
  <c r="DY770" s="1"/>
  <c r="DV769"/>
  <c r="AE769"/>
  <c r="S769"/>
  <c r="DY769" s="1"/>
  <c r="DV768"/>
  <c r="AN768"/>
  <c r="AE768"/>
  <c r="S768"/>
  <c r="DV767"/>
  <c r="AE767"/>
  <c r="S767"/>
  <c r="DV766"/>
  <c r="AE766"/>
  <c r="S766"/>
  <c r="DY766" s="1"/>
  <c r="DV765"/>
  <c r="AE765"/>
  <c r="S765"/>
  <c r="DY765" s="1"/>
  <c r="DV764"/>
  <c r="AE764"/>
  <c r="DY764"/>
  <c r="DV763"/>
  <c r="AE763"/>
  <c r="DV762"/>
  <c r="AN762"/>
  <c r="AE762"/>
  <c r="DV761"/>
  <c r="AE761"/>
  <c r="DV760"/>
  <c r="AE760"/>
  <c r="DV759"/>
  <c r="AE759"/>
  <c r="DV758"/>
  <c r="AE758"/>
  <c r="DV757"/>
  <c r="DW757" s="1"/>
  <c r="AE757"/>
  <c r="DY757"/>
  <c r="DV756"/>
  <c r="AN756"/>
  <c r="AE756"/>
  <c r="DV755"/>
  <c r="AE755"/>
  <c r="DV754"/>
  <c r="AE754"/>
  <c r="DV753"/>
  <c r="AE753"/>
  <c r="DV752"/>
  <c r="AE752"/>
  <c r="S752"/>
  <c r="DV751"/>
  <c r="AE751"/>
  <c r="S751"/>
  <c r="DY751" s="1"/>
  <c r="DV750"/>
  <c r="AN750"/>
  <c r="AE750"/>
  <c r="S750"/>
  <c r="BO70" i="3"/>
  <c r="DZ773" i="2" l="1"/>
  <c r="DW773"/>
  <c r="DW769"/>
  <c r="DW759"/>
  <c r="AN775"/>
  <c r="DZ770"/>
  <c r="DZ769"/>
  <c r="BH743"/>
  <c r="DW756"/>
  <c r="DW768"/>
  <c r="DW771"/>
  <c r="DW763"/>
  <c r="DW761"/>
  <c r="DW755"/>
  <c r="BH744"/>
  <c r="DW751"/>
  <c r="AE774"/>
  <c r="DY755"/>
  <c r="DW760"/>
  <c r="DY763"/>
  <c r="DZ763" s="1"/>
  <c r="DW770"/>
  <c r="DW772"/>
  <c r="DW758"/>
  <c r="DW754"/>
  <c r="DW767"/>
  <c r="DW765"/>
  <c r="DZ772"/>
  <c r="DW762"/>
  <c r="AN774"/>
  <c r="DZ764"/>
  <c r="DZ766"/>
  <c r="F778"/>
  <c r="G778" s="1"/>
  <c r="BL775"/>
  <c r="DW766"/>
  <c r="DV774"/>
  <c r="DV814" s="1"/>
  <c r="DW752"/>
  <c r="DW753"/>
  <c r="DY754"/>
  <c r="S774"/>
  <c r="DY768"/>
  <c r="DZ768" s="1"/>
  <c r="S775"/>
  <c r="DY752"/>
  <c r="DY761"/>
  <c r="DZ761" s="1"/>
  <c r="DY762"/>
  <c r="DZ762" s="1"/>
  <c r="DY767"/>
  <c r="DZ767" s="1"/>
  <c r="DW750"/>
  <c r="DW764"/>
  <c r="DZ765"/>
  <c r="DZ771"/>
  <c r="S777"/>
  <c r="S776"/>
  <c r="DY756"/>
  <c r="DY750"/>
  <c r="BL432"/>
  <c r="BL430"/>
  <c r="BL428"/>
  <c r="BL463"/>
  <c r="BL461"/>
  <c r="BL459"/>
  <c r="BL457"/>
  <c r="BL455"/>
  <c r="BL453"/>
  <c r="BL451"/>
  <c r="BL449"/>
  <c r="BL447"/>
  <c r="BL445"/>
  <c r="BL443"/>
  <c r="BL441"/>
  <c r="BL494"/>
  <c r="BL492"/>
  <c r="BL490"/>
  <c r="BL488"/>
  <c r="BL486"/>
  <c r="BL484"/>
  <c r="BL482"/>
  <c r="BL480"/>
  <c r="BL478"/>
  <c r="BL476"/>
  <c r="BL474"/>
  <c r="BL472"/>
  <c r="BL525"/>
  <c r="BL523"/>
  <c r="BL521"/>
  <c r="BL519"/>
  <c r="BL517"/>
  <c r="BL515"/>
  <c r="BL513"/>
  <c r="BL511"/>
  <c r="BL509"/>
  <c r="BL507"/>
  <c r="BL505"/>
  <c r="BL503"/>
  <c r="BL556"/>
  <c r="BL554"/>
  <c r="BL552"/>
  <c r="BL550"/>
  <c r="BL548"/>
  <c r="BL546"/>
  <c r="BL544"/>
  <c r="BL542"/>
  <c r="BL540"/>
  <c r="BL538"/>
  <c r="BL536"/>
  <c r="BL534"/>
  <c r="BL586"/>
  <c r="BL584"/>
  <c r="BL582"/>
  <c r="BL580"/>
  <c r="BL578"/>
  <c r="BL576"/>
  <c r="BL574"/>
  <c r="BL572"/>
  <c r="BL570"/>
  <c r="BL568"/>
  <c r="BL566"/>
  <c r="BL564"/>
  <c r="BL617"/>
  <c r="BL615"/>
  <c r="BL613"/>
  <c r="BL611"/>
  <c r="BL609"/>
  <c r="BL607"/>
  <c r="BL605"/>
  <c r="BL603"/>
  <c r="BL601"/>
  <c r="BL599"/>
  <c r="BL597"/>
  <c r="BL595"/>
  <c r="BL648"/>
  <c r="BL646"/>
  <c r="BL644"/>
  <c r="BL642"/>
  <c r="BL640"/>
  <c r="BL638"/>
  <c r="BL636"/>
  <c r="BL634"/>
  <c r="BL632"/>
  <c r="BL630"/>
  <c r="BL628"/>
  <c r="BL626"/>
  <c r="H778" l="1"/>
  <c r="X778"/>
  <c r="V778"/>
  <c r="W778"/>
  <c r="U778"/>
  <c r="BL435"/>
  <c r="BL466"/>
  <c r="BL528"/>
  <c r="BL651"/>
  <c r="BL620"/>
  <c r="BL497"/>
  <c r="BL559"/>
  <c r="BL589"/>
  <c r="BL741" l="1"/>
  <c r="BL739"/>
  <c r="BL737"/>
  <c r="BL735"/>
  <c r="BL733"/>
  <c r="BL731"/>
  <c r="BL729"/>
  <c r="BL727"/>
  <c r="BL725"/>
  <c r="BL723"/>
  <c r="BL721"/>
  <c r="BL719"/>
  <c r="BL710"/>
  <c r="BL708"/>
  <c r="BL706"/>
  <c r="BL704"/>
  <c r="BL702"/>
  <c r="BL700"/>
  <c r="BL698"/>
  <c r="BL696"/>
  <c r="BL694"/>
  <c r="BL692"/>
  <c r="BL690"/>
  <c r="BL688"/>
  <c r="BL679"/>
  <c r="BL677"/>
  <c r="BL675"/>
  <c r="BL673"/>
  <c r="BL671"/>
  <c r="BL669"/>
  <c r="BL667"/>
  <c r="BL665"/>
  <c r="BL663"/>
  <c r="BL661"/>
  <c r="BL659"/>
  <c r="BL657"/>
  <c r="BL713" l="1"/>
  <c r="BL682"/>
  <c r="BF7" i="4928"/>
  <c r="BL744" i="2"/>
  <c r="E12" i="16"/>
  <c r="AQ29" i="3"/>
  <c r="E10" i="16"/>
  <c r="G10" s="1"/>
  <c r="C747" i="2"/>
  <c r="AJ746"/>
  <c r="AI746"/>
  <c r="BA745"/>
  <c r="AJ745"/>
  <c r="AI745"/>
  <c r="AA745"/>
  <c r="BW744"/>
  <c r="BV744"/>
  <c r="BP744"/>
  <c r="BO744"/>
  <c r="BM744"/>
  <c r="BI744"/>
  <c r="BG744"/>
  <c r="BF744"/>
  <c r="BE744"/>
  <c r="BC744"/>
  <c r="BB744"/>
  <c r="BA744"/>
  <c r="AV744"/>
  <c r="AU744"/>
  <c r="AT744"/>
  <c r="AS744"/>
  <c r="AR744"/>
  <c r="AM744"/>
  <c r="AL744"/>
  <c r="AJ744"/>
  <c r="AI744"/>
  <c r="AH744"/>
  <c r="AG744"/>
  <c r="AD744"/>
  <c r="AC744"/>
  <c r="AA744"/>
  <c r="Z744"/>
  <c r="X744"/>
  <c r="W744"/>
  <c r="V744"/>
  <c r="U744"/>
  <c r="T744"/>
  <c r="R744"/>
  <c r="Q744"/>
  <c r="P744"/>
  <c r="O744"/>
  <c r="N744"/>
  <c r="M744"/>
  <c r="L744"/>
  <c r="K744"/>
  <c r="J744"/>
  <c r="I744"/>
  <c r="H744"/>
  <c r="G744"/>
  <c r="F744"/>
  <c r="E744"/>
  <c r="D744"/>
  <c r="C744"/>
  <c r="BW743"/>
  <c r="BV743"/>
  <c r="BP743"/>
  <c r="BO743"/>
  <c r="BM743"/>
  <c r="BI743"/>
  <c r="BG743"/>
  <c r="BF743"/>
  <c r="BE743"/>
  <c r="BC743"/>
  <c r="BB743"/>
  <c r="BA743"/>
  <c r="AV743"/>
  <c r="AT743"/>
  <c r="AS743"/>
  <c r="AR743"/>
  <c r="AM743"/>
  <c r="AL743"/>
  <c r="AJ743"/>
  <c r="AI743"/>
  <c r="AH743"/>
  <c r="AG743"/>
  <c r="AD743"/>
  <c r="AC743"/>
  <c r="AA743"/>
  <c r="Z743"/>
  <c r="X743"/>
  <c r="W743"/>
  <c r="V743"/>
  <c r="U743"/>
  <c r="T743"/>
  <c r="R743"/>
  <c r="Q743"/>
  <c r="P743"/>
  <c r="O743"/>
  <c r="N743"/>
  <c r="M743"/>
  <c r="L743"/>
  <c r="K743"/>
  <c r="J743"/>
  <c r="I743"/>
  <c r="H743"/>
  <c r="G743"/>
  <c r="F743"/>
  <c r="E743"/>
  <c r="D743"/>
  <c r="C743"/>
  <c r="DV742"/>
  <c r="AE742"/>
  <c r="S742"/>
  <c r="DV741"/>
  <c r="AE741"/>
  <c r="S741"/>
  <c r="DY741" s="1"/>
  <c r="DV740"/>
  <c r="AE740"/>
  <c r="S740"/>
  <c r="DY740" s="1"/>
  <c r="DV739"/>
  <c r="AE739"/>
  <c r="S739"/>
  <c r="DY739" s="1"/>
  <c r="DV738"/>
  <c r="AE738"/>
  <c r="S738"/>
  <c r="DY738" s="1"/>
  <c r="DV737"/>
  <c r="AN737"/>
  <c r="AE737"/>
  <c r="S737"/>
  <c r="DY737" s="1"/>
  <c r="DV736"/>
  <c r="AE736"/>
  <c r="S736"/>
  <c r="DV735"/>
  <c r="AE735"/>
  <c r="S735"/>
  <c r="DY735" s="1"/>
  <c r="DV734"/>
  <c r="AE734"/>
  <c r="S734"/>
  <c r="DV733"/>
  <c r="AE733"/>
  <c r="S733"/>
  <c r="DV732"/>
  <c r="AE732"/>
  <c r="DY732"/>
  <c r="DV731"/>
  <c r="AN731"/>
  <c r="AE731"/>
  <c r="DY731"/>
  <c r="DV730"/>
  <c r="AE730"/>
  <c r="DV729"/>
  <c r="AE729"/>
  <c r="DY729"/>
  <c r="DV728"/>
  <c r="AE728"/>
  <c r="DY728"/>
  <c r="DV727"/>
  <c r="AE727"/>
  <c r="DY727"/>
  <c r="DV726"/>
  <c r="AE726"/>
  <c r="DY726"/>
  <c r="DV725"/>
  <c r="AN725"/>
  <c r="AE725"/>
  <c r="DY725"/>
  <c r="DV724"/>
  <c r="AE724"/>
  <c r="DV723"/>
  <c r="AE723"/>
  <c r="DY723"/>
  <c r="DV722"/>
  <c r="AE722"/>
  <c r="DY722"/>
  <c r="DV721"/>
  <c r="AE721"/>
  <c r="DV720"/>
  <c r="AE720"/>
  <c r="S720"/>
  <c r="DV719"/>
  <c r="AN719"/>
  <c r="AE719"/>
  <c r="S719"/>
  <c r="V712"/>
  <c r="V713"/>
  <c r="V681"/>
  <c r="V682"/>
  <c r="V650"/>
  <c r="V651"/>
  <c r="V619"/>
  <c r="V620"/>
  <c r="V588"/>
  <c r="V589"/>
  <c r="V558"/>
  <c r="V559"/>
  <c r="V527"/>
  <c r="V528"/>
  <c r="V496"/>
  <c r="V497"/>
  <c r="V465"/>
  <c r="V466"/>
  <c r="V434"/>
  <c r="V435"/>
  <c r="V405"/>
  <c r="V406"/>
  <c r="V376"/>
  <c r="V377"/>
  <c r="V347"/>
  <c r="V348"/>
  <c r="V318"/>
  <c r="V319"/>
  <c r="V289"/>
  <c r="V290"/>
  <c r="V260"/>
  <c r="V261"/>
  <c r="V231"/>
  <c r="V232"/>
  <c r="V202"/>
  <c r="V203"/>
  <c r="V173"/>
  <c r="V174"/>
  <c r="V144"/>
  <c r="V145"/>
  <c r="V115"/>
  <c r="V116"/>
  <c r="V86"/>
  <c r="V87"/>
  <c r="V57"/>
  <c r="V58"/>
  <c r="V28"/>
  <c r="V29"/>
  <c r="E11" i="16"/>
  <c r="G11" s="1"/>
  <c r="C716" i="2"/>
  <c r="BM87" i="4928"/>
  <c r="BM84"/>
  <c r="BM81"/>
  <c r="BM78"/>
  <c r="BM75"/>
  <c r="BM72"/>
  <c r="BM69"/>
  <c r="BM66"/>
  <c r="BM63"/>
  <c r="BM60"/>
  <c r="BM57"/>
  <c r="BM54"/>
  <c r="BM51"/>
  <c r="BM48"/>
  <c r="BM45"/>
  <c r="BM42"/>
  <c r="BM39"/>
  <c r="BM36"/>
  <c r="BM33"/>
  <c r="BM30"/>
  <c r="BM27"/>
  <c r="BM24"/>
  <c r="BM21"/>
  <c r="BM18"/>
  <c r="BM15"/>
  <c r="BM12"/>
  <c r="BO66" i="3"/>
  <c r="BO67"/>
  <c r="BO68"/>
  <c r="BO69"/>
  <c r="DU30" l="1"/>
  <c r="DS30"/>
  <c r="DP30"/>
  <c r="DN30"/>
  <c r="DL30"/>
  <c r="DJ30"/>
  <c r="DH30"/>
  <c r="DF30"/>
  <c r="DD30"/>
  <c r="DB30"/>
  <c r="CZ30"/>
  <c r="CX30"/>
  <c r="CV30"/>
  <c r="CT30"/>
  <c r="CQ30"/>
  <c r="CO30"/>
  <c r="CM30"/>
  <c r="CJ30"/>
  <c r="CH30"/>
  <c r="CF30"/>
  <c r="CD30"/>
  <c r="CA30"/>
  <c r="BY30"/>
  <c r="BW30"/>
  <c r="BP30"/>
  <c r="BP71" s="1"/>
  <c r="BI30"/>
  <c r="BI71" s="1"/>
  <c r="BF30"/>
  <c r="BF71" s="1"/>
  <c r="BB30"/>
  <c r="BB71" s="1"/>
  <c r="AV30"/>
  <c r="AV71" s="1"/>
  <c r="AT30"/>
  <c r="AT71" s="1"/>
  <c r="AR30"/>
  <c r="AR71" s="1"/>
  <c r="AL30"/>
  <c r="AI30"/>
  <c r="AI71" s="1"/>
  <c r="AG30"/>
  <c r="AG71" s="1"/>
  <c r="AC30"/>
  <c r="Z30"/>
  <c r="Z71" s="1"/>
  <c r="X30"/>
  <c r="X71" s="1"/>
  <c r="V30"/>
  <c r="V71" s="1"/>
  <c r="T30"/>
  <c r="T71" s="1"/>
  <c r="Q30"/>
  <c r="Q71" s="1"/>
  <c r="O30"/>
  <c r="O71" s="1"/>
  <c r="M30"/>
  <c r="M71" s="1"/>
  <c r="K30"/>
  <c r="K71" s="1"/>
  <c r="I30"/>
  <c r="I71" s="1"/>
  <c r="G30"/>
  <c r="G71" s="1"/>
  <c r="E30"/>
  <c r="E71" s="1"/>
  <c r="C30"/>
  <c r="DT30"/>
  <c r="DQ30"/>
  <c r="DO30"/>
  <c r="DM30"/>
  <c r="DK30"/>
  <c r="DI30"/>
  <c r="DG30"/>
  <c r="DE30"/>
  <c r="DC30"/>
  <c r="DA30"/>
  <c r="CY30"/>
  <c r="CW30"/>
  <c r="CU30"/>
  <c r="CS30"/>
  <c r="CP30"/>
  <c r="CN30"/>
  <c r="CL30"/>
  <c r="CI30"/>
  <c r="CG30"/>
  <c r="CE30"/>
  <c r="CB30"/>
  <c r="BZ30"/>
  <c r="BX30"/>
  <c r="BV30"/>
  <c r="BM30"/>
  <c r="BM71" s="1"/>
  <c r="BG30"/>
  <c r="BG71" s="1"/>
  <c r="BE30"/>
  <c r="BE71" s="1"/>
  <c r="BA30"/>
  <c r="BA71" s="1"/>
  <c r="AU30"/>
  <c r="AU71" s="1"/>
  <c r="AS30"/>
  <c r="AS71" s="1"/>
  <c r="AM30"/>
  <c r="AM71" s="1"/>
  <c r="AJ30"/>
  <c r="AJ71" s="1"/>
  <c r="AH30"/>
  <c r="AH71" s="1"/>
  <c r="AD30"/>
  <c r="AD71" s="1"/>
  <c r="AA30"/>
  <c r="AA71" s="1"/>
  <c r="W30"/>
  <c r="W71" s="1"/>
  <c r="U30"/>
  <c r="U71" s="1"/>
  <c r="R30"/>
  <c r="R71" s="1"/>
  <c r="P30"/>
  <c r="P71" s="1"/>
  <c r="N30"/>
  <c r="N71" s="1"/>
  <c r="L30"/>
  <c r="L71" s="1"/>
  <c r="J30"/>
  <c r="J71" s="1"/>
  <c r="H30"/>
  <c r="H71" s="1"/>
  <c r="F30"/>
  <c r="F71" s="1"/>
  <c r="D30"/>
  <c r="D71" s="1"/>
  <c r="BL30"/>
  <c r="BL71" s="1"/>
  <c r="DS29"/>
  <c r="DS70" s="1"/>
  <c r="CP29"/>
  <c r="CP70" s="1"/>
  <c r="CL29"/>
  <c r="CL70" s="1"/>
  <c r="CX29"/>
  <c r="CX70" s="1"/>
  <c r="DK29"/>
  <c r="DK70" s="1"/>
  <c r="V12"/>
  <c r="CX12"/>
  <c r="CX53" s="1"/>
  <c r="CL12"/>
  <c r="CL53" s="1"/>
  <c r="DK12"/>
  <c r="DK53" s="1"/>
  <c r="CP12"/>
  <c r="CP53" s="1"/>
  <c r="CL25"/>
  <c r="CL66" s="1"/>
  <c r="CP25"/>
  <c r="CP66" s="1"/>
  <c r="CX25"/>
  <c r="CX66" s="1"/>
  <c r="DK25"/>
  <c r="DK66" s="1"/>
  <c r="V8"/>
  <c r="CP8"/>
  <c r="CX8"/>
  <c r="DK8"/>
  <c r="CL8"/>
  <c r="V16"/>
  <c r="CP16"/>
  <c r="CL16"/>
  <c r="CX16"/>
  <c r="DK16"/>
  <c r="CP24"/>
  <c r="CP65" s="1"/>
  <c r="DK24"/>
  <c r="DK65" s="1"/>
  <c r="CX24"/>
  <c r="CX65" s="1"/>
  <c r="CL24"/>
  <c r="CL65" s="1"/>
  <c r="V13"/>
  <c r="CP13"/>
  <c r="CP54" s="1"/>
  <c r="CX13"/>
  <c r="CX54" s="1"/>
  <c r="DK13"/>
  <c r="DK54" s="1"/>
  <c r="CL13"/>
  <c r="CL54" s="1"/>
  <c r="CP20"/>
  <c r="CP61" s="1"/>
  <c r="CX20"/>
  <c r="CX61" s="1"/>
  <c r="DK20"/>
  <c r="DK61" s="1"/>
  <c r="CL20"/>
  <c r="CL61" s="1"/>
  <c r="CL27"/>
  <c r="CL68" s="1"/>
  <c r="DK27"/>
  <c r="DK68" s="1"/>
  <c r="CX27"/>
  <c r="CX68" s="1"/>
  <c r="CP27"/>
  <c r="CP68" s="1"/>
  <c r="V18"/>
  <c r="CX18"/>
  <c r="CL18"/>
  <c r="CP18"/>
  <c r="DK18"/>
  <c r="V17"/>
  <c r="CL17"/>
  <c r="CX17"/>
  <c r="DK17"/>
  <c r="CP17"/>
  <c r="V5"/>
  <c r="CP5"/>
  <c r="CL5"/>
  <c r="CX5"/>
  <c r="DK5"/>
  <c r="CL21"/>
  <c r="CL62" s="1"/>
  <c r="CP21"/>
  <c r="CP62" s="1"/>
  <c r="CX21"/>
  <c r="CX62" s="1"/>
  <c r="DK21"/>
  <c r="DK62" s="1"/>
  <c r="CX28"/>
  <c r="CX69" s="1"/>
  <c r="CP28"/>
  <c r="CP69" s="1"/>
  <c r="DK28"/>
  <c r="DK69" s="1"/>
  <c r="CL28"/>
  <c r="CL69" s="1"/>
  <c r="V11"/>
  <c r="CP11"/>
  <c r="CP52" s="1"/>
  <c r="DK11"/>
  <c r="DK52" s="1"/>
  <c r="CL11"/>
  <c r="CL52" s="1"/>
  <c r="CX11"/>
  <c r="CX52" s="1"/>
  <c r="DK19"/>
  <c r="DK60" s="1"/>
  <c r="CP19"/>
  <c r="CP60" s="1"/>
  <c r="CX19"/>
  <c r="CX60" s="1"/>
  <c r="CL19"/>
  <c r="CL60" s="1"/>
  <c r="V10"/>
  <c r="CP10"/>
  <c r="CP51" s="1"/>
  <c r="CX10"/>
  <c r="CX51" s="1"/>
  <c r="DK10"/>
  <c r="DK51" s="1"/>
  <c r="CL10"/>
  <c r="CL51" s="1"/>
  <c r="CL26"/>
  <c r="CL67" s="1"/>
  <c r="CP26"/>
  <c r="CP67" s="1"/>
  <c r="CX26"/>
  <c r="CX67" s="1"/>
  <c r="DK26"/>
  <c r="DK67" s="1"/>
  <c r="V9"/>
  <c r="CL9"/>
  <c r="CL50" s="1"/>
  <c r="CX9"/>
  <c r="CX50" s="1"/>
  <c r="DK9"/>
  <c r="DK50" s="1"/>
  <c r="CP9"/>
  <c r="CP50" s="1"/>
  <c r="V7"/>
  <c r="CX7"/>
  <c r="CL7"/>
  <c r="DK7"/>
  <c r="CP7"/>
  <c r="V15"/>
  <c r="CX15"/>
  <c r="DK15"/>
  <c r="CL15"/>
  <c r="CP15"/>
  <c r="CX23"/>
  <c r="CX64" s="1"/>
  <c r="CL23"/>
  <c r="CL64" s="1"/>
  <c r="CP23"/>
  <c r="CP64" s="1"/>
  <c r="DK23"/>
  <c r="DK64" s="1"/>
  <c r="V6"/>
  <c r="DK6"/>
  <c r="CL6"/>
  <c r="CP6"/>
  <c r="CX6"/>
  <c r="V14"/>
  <c r="DK14"/>
  <c r="CL14"/>
  <c r="CP14"/>
  <c r="CX14"/>
  <c r="DK22"/>
  <c r="DK63" s="1"/>
  <c r="CL22"/>
  <c r="CL63" s="1"/>
  <c r="CP22"/>
  <c r="CP63" s="1"/>
  <c r="CX22"/>
  <c r="CX63" s="1"/>
  <c r="BF6" i="4928"/>
  <c r="V26" i="3"/>
  <c r="V67" s="1"/>
  <c r="BL26"/>
  <c r="BL67" s="1"/>
  <c r="BL25"/>
  <c r="BL66" s="1"/>
  <c r="V25"/>
  <c r="V66" s="1"/>
  <c r="BL23"/>
  <c r="BL64" s="1"/>
  <c r="V23"/>
  <c r="BL24"/>
  <c r="BL65" s="1"/>
  <c r="V24"/>
  <c r="BL21"/>
  <c r="BL62" s="1"/>
  <c r="V21"/>
  <c r="DN29"/>
  <c r="DS109"/>
  <c r="DI109"/>
  <c r="DA109"/>
  <c r="CQ109"/>
  <c r="CF109"/>
  <c r="BW109"/>
  <c r="BE109"/>
  <c r="AR109"/>
  <c r="AG109"/>
  <c r="T109"/>
  <c r="K109"/>
  <c r="C109"/>
  <c r="DM109"/>
  <c r="BI109"/>
  <c r="AU109"/>
  <c r="DE109"/>
  <c r="CA109"/>
  <c r="AV109"/>
  <c r="G109"/>
  <c r="DO109"/>
  <c r="CB109"/>
  <c r="BA109"/>
  <c r="CY109"/>
  <c r="BP109"/>
  <c r="AC109"/>
  <c r="I109"/>
  <c r="BV109"/>
  <c r="DT109"/>
  <c r="DJ109"/>
  <c r="DB109"/>
  <c r="CS109"/>
  <c r="CG109"/>
  <c r="BX109"/>
  <c r="BF109"/>
  <c r="AS109"/>
  <c r="AH109"/>
  <c r="U109"/>
  <c r="L109"/>
  <c r="D109"/>
  <c r="DD109"/>
  <c r="CI109"/>
  <c r="X109"/>
  <c r="N109"/>
  <c r="CV109"/>
  <c r="BM109"/>
  <c r="Z109"/>
  <c r="CW109"/>
  <c r="BO109"/>
  <c r="AA109"/>
  <c r="H109"/>
  <c r="DG109"/>
  <c r="CN109"/>
  <c r="AO109"/>
  <c r="Q109"/>
  <c r="BC109"/>
  <c r="AD109"/>
  <c r="DU109"/>
  <c r="DL109"/>
  <c r="DC109"/>
  <c r="CT109"/>
  <c r="CH109"/>
  <c r="BY109"/>
  <c r="BG109"/>
  <c r="AT109"/>
  <c r="AI109"/>
  <c r="W109"/>
  <c r="M109"/>
  <c r="E109"/>
  <c r="CU109"/>
  <c r="BZ109"/>
  <c r="AJ109"/>
  <c r="F109"/>
  <c r="DN109"/>
  <c r="CJ109"/>
  <c r="AL109"/>
  <c r="O109"/>
  <c r="DF109"/>
  <c r="CM109"/>
  <c r="AM109"/>
  <c r="P109"/>
  <c r="DP109"/>
  <c r="CD109"/>
  <c r="BB109"/>
  <c r="V29"/>
  <c r="V70" s="1"/>
  <c r="AP109"/>
  <c r="R109"/>
  <c r="DQ109"/>
  <c r="DH109"/>
  <c r="CZ109"/>
  <c r="CO109"/>
  <c r="CE109"/>
  <c r="J109"/>
  <c r="BL29"/>
  <c r="BL70" s="1"/>
  <c r="BL20"/>
  <c r="BL61" s="1"/>
  <c r="V20"/>
  <c r="V28"/>
  <c r="V69" s="1"/>
  <c r="BL28"/>
  <c r="BL69" s="1"/>
  <c r="BL22"/>
  <c r="BL63" s="1"/>
  <c r="V22"/>
  <c r="V19"/>
  <c r="BL19"/>
  <c r="BL60" s="1"/>
  <c r="V27"/>
  <c r="V68" s="1"/>
  <c r="BL27"/>
  <c r="BL68" s="1"/>
  <c r="DN70"/>
  <c r="DW732" i="2"/>
  <c r="AD29" i="3"/>
  <c r="CE29"/>
  <c r="Z29"/>
  <c r="Z70" s="1"/>
  <c r="X29"/>
  <c r="X70" s="1"/>
  <c r="R29"/>
  <c r="R70" s="1"/>
  <c r="CI29"/>
  <c r="DQ29"/>
  <c r="DM29"/>
  <c r="CF29"/>
  <c r="DW728" i="2"/>
  <c r="BZ29" i="3"/>
  <c r="AE744" i="2"/>
  <c r="DW733"/>
  <c r="J29" i="3"/>
  <c r="J70" s="1"/>
  <c r="BG29"/>
  <c r="DD29"/>
  <c r="G29"/>
  <c r="G70" s="1"/>
  <c r="BB29"/>
  <c r="DA29"/>
  <c r="DZ741" i="2"/>
  <c r="DZ738"/>
  <c r="F29" i="3"/>
  <c r="F70" s="1"/>
  <c r="BA29"/>
  <c r="CZ29"/>
  <c r="AS29"/>
  <c r="CU29"/>
  <c r="DW726" i="2"/>
  <c r="DW724"/>
  <c r="I29" i="3"/>
  <c r="I70" s="1"/>
  <c r="AC29"/>
  <c r="AC70" s="1"/>
  <c r="BF29"/>
  <c r="CH29"/>
  <c r="DC29"/>
  <c r="DU29"/>
  <c r="DW730" i="2"/>
  <c r="Q29" i="3"/>
  <c r="Q70" s="1"/>
  <c r="AR29"/>
  <c r="BY29"/>
  <c r="CT29"/>
  <c r="DL29"/>
  <c r="O29"/>
  <c r="O70" s="1"/>
  <c r="AL29"/>
  <c r="BW29"/>
  <c r="CQ29"/>
  <c r="DI29"/>
  <c r="DW741" i="2"/>
  <c r="N29" i="3"/>
  <c r="N70" s="1"/>
  <c r="AJ29"/>
  <c r="BV29"/>
  <c r="CO29"/>
  <c r="DH29"/>
  <c r="DW722" i="2"/>
  <c r="DW721"/>
  <c r="DW742"/>
  <c r="H29" i="3"/>
  <c r="H70" s="1"/>
  <c r="P29"/>
  <c r="P70" s="1"/>
  <c r="AA29"/>
  <c r="AM29"/>
  <c r="AM70" s="1"/>
  <c r="BE29"/>
  <c r="BX29"/>
  <c r="CG29"/>
  <c r="CS29"/>
  <c r="DB29"/>
  <c r="DJ29"/>
  <c r="DT29"/>
  <c r="DW734" i="2"/>
  <c r="DZ739"/>
  <c r="E29" i="3"/>
  <c r="E70" s="1"/>
  <c r="M29"/>
  <c r="M70" s="1"/>
  <c r="W29"/>
  <c r="W70" s="1"/>
  <c r="AI29"/>
  <c r="AI70" s="1"/>
  <c r="AV29"/>
  <c r="BP29"/>
  <c r="CD29"/>
  <c r="CN29"/>
  <c r="CY29"/>
  <c r="DG29"/>
  <c r="DP29"/>
  <c r="D29"/>
  <c r="D70" s="1"/>
  <c r="L29"/>
  <c r="L70" s="1"/>
  <c r="U29"/>
  <c r="U70" s="1"/>
  <c r="AH29"/>
  <c r="AH70" s="1"/>
  <c r="AU29"/>
  <c r="BM29"/>
  <c r="CB29"/>
  <c r="CM29"/>
  <c r="CW29"/>
  <c r="DF29"/>
  <c r="DO29"/>
  <c r="DV743" i="2"/>
  <c r="DZ737"/>
  <c r="DW720"/>
  <c r="DW731"/>
  <c r="DW736"/>
  <c r="C29" i="3"/>
  <c r="K29"/>
  <c r="K70" s="1"/>
  <c r="T29"/>
  <c r="T70" s="1"/>
  <c r="AG29"/>
  <c r="AG70" s="1"/>
  <c r="AT29"/>
  <c r="BI29"/>
  <c r="CA29"/>
  <c r="CJ29"/>
  <c r="CV29"/>
  <c r="DE29"/>
  <c r="AN743" i="2"/>
  <c r="AN744"/>
  <c r="AE743"/>
  <c r="DY736"/>
  <c r="DW738"/>
  <c r="DY720"/>
  <c r="DW740"/>
  <c r="DW729"/>
  <c r="DZ740"/>
  <c r="S745"/>
  <c r="S744"/>
  <c r="DZ736"/>
  <c r="DY721"/>
  <c r="DZ732"/>
  <c r="F747"/>
  <c r="G747" s="1"/>
  <c r="S746"/>
  <c r="DY733"/>
  <c r="DZ733" s="1"/>
  <c r="DW737"/>
  <c r="DY742"/>
  <c r="DZ742" s="1"/>
  <c r="DW723"/>
  <c r="DW725"/>
  <c r="DW735"/>
  <c r="S743"/>
  <c r="DY730"/>
  <c r="DZ730" s="1"/>
  <c r="DY724"/>
  <c r="DY719"/>
  <c r="DW727"/>
  <c r="DW719"/>
  <c r="DW739"/>
  <c r="DY734"/>
  <c r="DZ734" s="1"/>
  <c r="DZ731"/>
  <c r="DZ735"/>
  <c r="DV566"/>
  <c r="DV567"/>
  <c r="DV568"/>
  <c r="DV569"/>
  <c r="DV570"/>
  <c r="DV571"/>
  <c r="DV572"/>
  <c r="DV573"/>
  <c r="DV574"/>
  <c r="DV575"/>
  <c r="DV576"/>
  <c r="DV577"/>
  <c r="DV578"/>
  <c r="DV579"/>
  <c r="DV580"/>
  <c r="DV581"/>
  <c r="DV582"/>
  <c r="DV583"/>
  <c r="DV584"/>
  <c r="DV585"/>
  <c r="DV586"/>
  <c r="DV587"/>
  <c r="DV564"/>
  <c r="M527"/>
  <c r="N527"/>
  <c r="O527"/>
  <c r="M528"/>
  <c r="N528"/>
  <c r="O528"/>
  <c r="M558"/>
  <c r="N558"/>
  <c r="O558"/>
  <c r="M559"/>
  <c r="N559"/>
  <c r="O559"/>
  <c r="M57"/>
  <c r="N57"/>
  <c r="M58"/>
  <c r="N58"/>
  <c r="M28"/>
  <c r="N28"/>
  <c r="P28"/>
  <c r="M29"/>
  <c r="N29"/>
  <c r="P29"/>
  <c r="M496"/>
  <c r="N496"/>
  <c r="P496"/>
  <c r="M497"/>
  <c r="N497"/>
  <c r="P497"/>
  <c r="L465"/>
  <c r="M465"/>
  <c r="N465"/>
  <c r="P465"/>
  <c r="L466"/>
  <c r="M466"/>
  <c r="N466"/>
  <c r="P466"/>
  <c r="M434"/>
  <c r="N434"/>
  <c r="P434"/>
  <c r="M435"/>
  <c r="N435"/>
  <c r="P435"/>
  <c r="I588"/>
  <c r="L588"/>
  <c r="M588"/>
  <c r="N588"/>
  <c r="P588"/>
  <c r="I589"/>
  <c r="L589"/>
  <c r="M589"/>
  <c r="N589"/>
  <c r="P589"/>
  <c r="M619"/>
  <c r="N619"/>
  <c r="P619"/>
  <c r="M620"/>
  <c r="N620"/>
  <c r="P620"/>
  <c r="L650"/>
  <c r="M650"/>
  <c r="N650"/>
  <c r="P650"/>
  <c r="L651"/>
  <c r="M651"/>
  <c r="N651"/>
  <c r="P651"/>
  <c r="L681"/>
  <c r="M681"/>
  <c r="N681"/>
  <c r="P681"/>
  <c r="L682"/>
  <c r="M682"/>
  <c r="N682"/>
  <c r="P682"/>
  <c r="M712"/>
  <c r="N712"/>
  <c r="P712"/>
  <c r="M713"/>
  <c r="N713"/>
  <c r="P713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AJ715"/>
  <c r="AI715"/>
  <c r="BA714"/>
  <c r="AJ714"/>
  <c r="AI714"/>
  <c r="AA714"/>
  <c r="BW713"/>
  <c r="BV713"/>
  <c r="BP713"/>
  <c r="BO713"/>
  <c r="BM713"/>
  <c r="BI713"/>
  <c r="BG713"/>
  <c r="BF713"/>
  <c r="BE713"/>
  <c r="BC713"/>
  <c r="BB713"/>
  <c r="BA713"/>
  <c r="AV713"/>
  <c r="AU713"/>
  <c r="AT713"/>
  <c r="AS713"/>
  <c r="AR713"/>
  <c r="AM713"/>
  <c r="AL713"/>
  <c r="AJ713"/>
  <c r="AI713"/>
  <c r="AH713"/>
  <c r="AG713"/>
  <c r="AD713"/>
  <c r="AC713"/>
  <c r="AA713"/>
  <c r="Z713"/>
  <c r="X713"/>
  <c r="W713"/>
  <c r="U713"/>
  <c r="T713"/>
  <c r="R713"/>
  <c r="Q713"/>
  <c r="L713"/>
  <c r="I713"/>
  <c r="O713"/>
  <c r="K713"/>
  <c r="J713"/>
  <c r="H713"/>
  <c r="G713"/>
  <c r="F713"/>
  <c r="E713"/>
  <c r="D713"/>
  <c r="C713"/>
  <c r="BW712"/>
  <c r="BV712"/>
  <c r="BP712"/>
  <c r="BO712"/>
  <c r="BM712"/>
  <c r="BI712"/>
  <c r="BG712"/>
  <c r="BF712"/>
  <c r="BE712"/>
  <c r="BC712"/>
  <c r="BB712"/>
  <c r="BA712"/>
  <c r="AV712"/>
  <c r="AU712"/>
  <c r="AT712"/>
  <c r="AS712"/>
  <c r="AR712"/>
  <c r="AM712"/>
  <c r="AL712"/>
  <c r="AJ712"/>
  <c r="AI712"/>
  <c r="AH712"/>
  <c r="AG712"/>
  <c r="AD712"/>
  <c r="AC712"/>
  <c r="AA712"/>
  <c r="Z712"/>
  <c r="X712"/>
  <c r="W712"/>
  <c r="U712"/>
  <c r="T712"/>
  <c r="R712"/>
  <c r="Q712"/>
  <c r="L712"/>
  <c r="I712"/>
  <c r="O712"/>
  <c r="K712"/>
  <c r="J712"/>
  <c r="H712"/>
  <c r="G712"/>
  <c r="F712"/>
  <c r="E712"/>
  <c r="D712"/>
  <c r="C712"/>
  <c r="DV711"/>
  <c r="AE711"/>
  <c r="S711"/>
  <c r="DY711" s="1"/>
  <c r="DV710"/>
  <c r="AE710"/>
  <c r="S710"/>
  <c r="DY710" s="1"/>
  <c r="DV709"/>
  <c r="AE709"/>
  <c r="S709"/>
  <c r="DY709" s="1"/>
  <c r="DV708"/>
  <c r="AE708"/>
  <c r="S708"/>
  <c r="DY708" s="1"/>
  <c r="DV707"/>
  <c r="AE707"/>
  <c r="S707"/>
  <c r="DY707" s="1"/>
  <c r="DV706"/>
  <c r="AN706"/>
  <c r="AE706"/>
  <c r="S706"/>
  <c r="DY706" s="1"/>
  <c r="DV705"/>
  <c r="AE705"/>
  <c r="S705"/>
  <c r="DY705" s="1"/>
  <c r="DV704"/>
  <c r="AE704"/>
  <c r="S704"/>
  <c r="DY704" s="1"/>
  <c r="DV703"/>
  <c r="AE703"/>
  <c r="S703"/>
  <c r="DY703" s="1"/>
  <c r="DV702"/>
  <c r="AE702"/>
  <c r="S702"/>
  <c r="DY702" s="1"/>
  <c r="DV701"/>
  <c r="AE701"/>
  <c r="S701"/>
  <c r="DY701" s="1"/>
  <c r="DV700"/>
  <c r="AN700"/>
  <c r="AE700"/>
  <c r="S700"/>
  <c r="DY700" s="1"/>
  <c r="DV699"/>
  <c r="AE699"/>
  <c r="S699"/>
  <c r="DY699" s="1"/>
  <c r="DV698"/>
  <c r="AE698"/>
  <c r="S698"/>
  <c r="DY698" s="1"/>
  <c r="DV697"/>
  <c r="AE697"/>
  <c r="S697"/>
  <c r="DY697" s="1"/>
  <c r="DV696"/>
  <c r="AE696"/>
  <c r="S696"/>
  <c r="DY696" s="1"/>
  <c r="DV695"/>
  <c r="AE695"/>
  <c r="S695"/>
  <c r="DY695" s="1"/>
  <c r="DV694"/>
  <c r="AN694"/>
  <c r="AE694"/>
  <c r="S694"/>
  <c r="DY694" s="1"/>
  <c r="DV693"/>
  <c r="AE693"/>
  <c r="S693"/>
  <c r="DY693" s="1"/>
  <c r="DV692"/>
  <c r="AE692"/>
  <c r="S692"/>
  <c r="DY692" s="1"/>
  <c r="DV691"/>
  <c r="AE691"/>
  <c r="S691"/>
  <c r="DY691" s="1"/>
  <c r="DV690"/>
  <c r="AE690"/>
  <c r="S690"/>
  <c r="DY690" s="1"/>
  <c r="DV689"/>
  <c r="AE689"/>
  <c r="S689"/>
  <c r="DY689" s="1"/>
  <c r="DV688"/>
  <c r="AN688"/>
  <c r="AE688"/>
  <c r="S688"/>
  <c r="D6" i="3"/>
  <c r="D47" s="1"/>
  <c r="S4" i="2"/>
  <c r="BM4"/>
  <c r="BM5" i="3" s="1"/>
  <c r="BM46" s="1"/>
  <c r="DV4" i="2"/>
  <c r="S5"/>
  <c r="DV5"/>
  <c r="DV6"/>
  <c r="DV7"/>
  <c r="DV8"/>
  <c r="DV9"/>
  <c r="DV10"/>
  <c r="DV11"/>
  <c r="DV12"/>
  <c r="DV13"/>
  <c r="DV14"/>
  <c r="DV15"/>
  <c r="DV16"/>
  <c r="DV17"/>
  <c r="DV18"/>
  <c r="DV19"/>
  <c r="DV20"/>
  <c r="DV21"/>
  <c r="DV22"/>
  <c r="DV23"/>
  <c r="DV24"/>
  <c r="DV25"/>
  <c r="DV26"/>
  <c r="S27"/>
  <c r="DV27"/>
  <c r="C28"/>
  <c r="D28"/>
  <c r="E28"/>
  <c r="F28"/>
  <c r="G28"/>
  <c r="H28"/>
  <c r="J28"/>
  <c r="K28"/>
  <c r="O28"/>
  <c r="I28"/>
  <c r="L28"/>
  <c r="Q28"/>
  <c r="R28"/>
  <c r="T28"/>
  <c r="U28"/>
  <c r="W28"/>
  <c r="X28"/>
  <c r="Z28"/>
  <c r="AA28"/>
  <c r="AC28"/>
  <c r="AD28"/>
  <c r="AE28"/>
  <c r="AG28"/>
  <c r="AH28"/>
  <c r="AI28"/>
  <c r="AJ28"/>
  <c r="AL28"/>
  <c r="AM28"/>
  <c r="AN28"/>
  <c r="AO28"/>
  <c r="AP28"/>
  <c r="AQ28"/>
  <c r="AR28"/>
  <c r="AS28"/>
  <c r="AT28"/>
  <c r="AU28"/>
  <c r="AV28"/>
  <c r="BA28"/>
  <c r="BB28"/>
  <c r="BC28"/>
  <c r="BO28"/>
  <c r="BP28"/>
  <c r="BV28"/>
  <c r="BW28"/>
  <c r="BX28"/>
  <c r="BY28"/>
  <c r="C29"/>
  <c r="D29"/>
  <c r="E29"/>
  <c r="F29"/>
  <c r="G29"/>
  <c r="H29"/>
  <c r="J29"/>
  <c r="K29"/>
  <c r="O29"/>
  <c r="I29"/>
  <c r="L29"/>
  <c r="Q29"/>
  <c r="R29"/>
  <c r="T29"/>
  <c r="U29"/>
  <c r="W29"/>
  <c r="X29"/>
  <c r="Z29"/>
  <c r="AA29"/>
  <c r="AC29"/>
  <c r="AD29"/>
  <c r="AG29"/>
  <c r="AH29"/>
  <c r="AI29"/>
  <c r="AJ29"/>
  <c r="AL29"/>
  <c r="AM29"/>
  <c r="AO29"/>
  <c r="AP29"/>
  <c r="AR29"/>
  <c r="AS29"/>
  <c r="AT29"/>
  <c r="AU29"/>
  <c r="AV29"/>
  <c r="BA29"/>
  <c r="BB29"/>
  <c r="BC29"/>
  <c r="BO29"/>
  <c r="BP29"/>
  <c r="BV29"/>
  <c r="BW29"/>
  <c r="BX29"/>
  <c r="BY29"/>
  <c r="AA30"/>
  <c r="AI30"/>
  <c r="AJ30"/>
  <c r="BA30"/>
  <c r="AI31"/>
  <c r="AJ31"/>
  <c r="S33"/>
  <c r="DV33"/>
  <c r="S34"/>
  <c r="DV34"/>
  <c r="S35"/>
  <c r="DV35"/>
  <c r="S36"/>
  <c r="DV36"/>
  <c r="S37"/>
  <c r="DV37"/>
  <c r="S38"/>
  <c r="DV38"/>
  <c r="S39"/>
  <c r="DV39"/>
  <c r="S40"/>
  <c r="DV40"/>
  <c r="S41"/>
  <c r="DV41"/>
  <c r="S42"/>
  <c r="DV42"/>
  <c r="S43"/>
  <c r="DV43"/>
  <c r="S44"/>
  <c r="DV44"/>
  <c r="S45"/>
  <c r="BM45"/>
  <c r="BM57" s="1"/>
  <c r="DV45"/>
  <c r="S46"/>
  <c r="DV46"/>
  <c r="S47"/>
  <c r="DV47"/>
  <c r="S48"/>
  <c r="DV48"/>
  <c r="S49"/>
  <c r="DV49"/>
  <c r="S50"/>
  <c r="DV50"/>
  <c r="S51"/>
  <c r="DV51"/>
  <c r="S52"/>
  <c r="DV52"/>
  <c r="S53"/>
  <c r="DV53"/>
  <c r="S54"/>
  <c r="DV54"/>
  <c r="S55"/>
  <c r="DV55"/>
  <c r="S56"/>
  <c r="DV56"/>
  <c r="C57"/>
  <c r="D57"/>
  <c r="E57"/>
  <c r="F57"/>
  <c r="G57"/>
  <c r="H57"/>
  <c r="J57"/>
  <c r="K57"/>
  <c r="O57"/>
  <c r="I57"/>
  <c r="L57"/>
  <c r="P57"/>
  <c r="Q57"/>
  <c r="R57"/>
  <c r="T57"/>
  <c r="U57"/>
  <c r="W57"/>
  <c r="X57"/>
  <c r="Z57"/>
  <c r="AA57"/>
  <c r="AC57"/>
  <c r="AD57"/>
  <c r="AE57"/>
  <c r="AG57"/>
  <c r="AH57"/>
  <c r="AI57"/>
  <c r="AJ57"/>
  <c r="AL57"/>
  <c r="AM57"/>
  <c r="AN57"/>
  <c r="AO57"/>
  <c r="AP57"/>
  <c r="AQ57"/>
  <c r="AR57"/>
  <c r="AS57"/>
  <c r="AT57"/>
  <c r="AU57"/>
  <c r="AV57"/>
  <c r="BA57"/>
  <c r="BB57"/>
  <c r="BO57"/>
  <c r="BP57"/>
  <c r="BV57"/>
  <c r="BW57"/>
  <c r="BX57"/>
  <c r="BY57"/>
  <c r="C58"/>
  <c r="D58"/>
  <c r="E58"/>
  <c r="F58"/>
  <c r="G58"/>
  <c r="H58"/>
  <c r="J58"/>
  <c r="K58"/>
  <c r="O58"/>
  <c r="I58"/>
  <c r="L58"/>
  <c r="P58"/>
  <c r="Q58"/>
  <c r="R58"/>
  <c r="T58"/>
  <c r="U58"/>
  <c r="W58"/>
  <c r="X58"/>
  <c r="Z58"/>
  <c r="AA58"/>
  <c r="AC58"/>
  <c r="AD58"/>
  <c r="AG58"/>
  <c r="AH58"/>
  <c r="AI58"/>
  <c r="AJ58"/>
  <c r="AL58"/>
  <c r="AM58"/>
  <c r="AO58"/>
  <c r="AP58"/>
  <c r="AR58"/>
  <c r="AS58"/>
  <c r="AT58"/>
  <c r="AU58"/>
  <c r="AV58"/>
  <c r="BA58"/>
  <c r="BB58"/>
  <c r="BO58"/>
  <c r="BP58"/>
  <c r="BV58"/>
  <c r="BW58"/>
  <c r="BX58"/>
  <c r="BY58"/>
  <c r="AA59"/>
  <c r="AI59"/>
  <c r="AJ59"/>
  <c r="BA59"/>
  <c r="AI60"/>
  <c r="AJ60"/>
  <c r="S62"/>
  <c r="DV62"/>
  <c r="S63"/>
  <c r="DV63"/>
  <c r="S64"/>
  <c r="DV64"/>
  <c r="S65"/>
  <c r="DV65"/>
  <c r="S66"/>
  <c r="DV66"/>
  <c r="S67"/>
  <c r="DV67"/>
  <c r="S68"/>
  <c r="DV68"/>
  <c r="S69"/>
  <c r="DV69"/>
  <c r="S70"/>
  <c r="DV70"/>
  <c r="S71"/>
  <c r="DV71"/>
  <c r="S72"/>
  <c r="DV72"/>
  <c r="S73"/>
  <c r="DV73"/>
  <c r="S74"/>
  <c r="BM74"/>
  <c r="BM86" s="1"/>
  <c r="DV74"/>
  <c r="S75"/>
  <c r="DV75"/>
  <c r="S76"/>
  <c r="DV76"/>
  <c r="S77"/>
  <c r="DV77"/>
  <c r="S78"/>
  <c r="DV78"/>
  <c r="S79"/>
  <c r="DV79"/>
  <c r="S80"/>
  <c r="DV80"/>
  <c r="S81"/>
  <c r="DV81"/>
  <c r="S82"/>
  <c r="DV82"/>
  <c r="S83"/>
  <c r="DV83"/>
  <c r="S84"/>
  <c r="DV84"/>
  <c r="S85"/>
  <c r="DV85"/>
  <c r="C86"/>
  <c r="D86"/>
  <c r="E86"/>
  <c r="F86"/>
  <c r="G86"/>
  <c r="H86"/>
  <c r="J86"/>
  <c r="K86"/>
  <c r="O86"/>
  <c r="I86"/>
  <c r="L86"/>
  <c r="P86"/>
  <c r="Q86"/>
  <c r="R86"/>
  <c r="T86"/>
  <c r="U86"/>
  <c r="W86"/>
  <c r="X86"/>
  <c r="Z86"/>
  <c r="AA86"/>
  <c r="AC86"/>
  <c r="AD86"/>
  <c r="AE86"/>
  <c r="AG86"/>
  <c r="AH86"/>
  <c r="AI86"/>
  <c r="AJ86"/>
  <c r="AL86"/>
  <c r="AM86"/>
  <c r="AN86"/>
  <c r="AO86"/>
  <c r="AP86"/>
  <c r="AQ86"/>
  <c r="AR86"/>
  <c r="AS86"/>
  <c r="AT86"/>
  <c r="AU86"/>
  <c r="AV86"/>
  <c r="BA86"/>
  <c r="BB86"/>
  <c r="BO86"/>
  <c r="BP86"/>
  <c r="BV86"/>
  <c r="BW86"/>
  <c r="C87"/>
  <c r="D87"/>
  <c r="E87"/>
  <c r="F87"/>
  <c r="G87"/>
  <c r="H87"/>
  <c r="J87"/>
  <c r="K87"/>
  <c r="O87"/>
  <c r="I87"/>
  <c r="L87"/>
  <c r="P87"/>
  <c r="Q87"/>
  <c r="R87"/>
  <c r="T87"/>
  <c r="U87"/>
  <c r="W87"/>
  <c r="X87"/>
  <c r="Z87"/>
  <c r="AA87"/>
  <c r="AC87"/>
  <c r="AD87"/>
  <c r="AG87"/>
  <c r="AH87"/>
  <c r="AI87"/>
  <c r="AJ87"/>
  <c r="AL87"/>
  <c r="AM87"/>
  <c r="AO87"/>
  <c r="AP87"/>
  <c r="AR87"/>
  <c r="AS87"/>
  <c r="AT87"/>
  <c r="AU87"/>
  <c r="AV87"/>
  <c r="BA87"/>
  <c r="BB87"/>
  <c r="BO87"/>
  <c r="BP87"/>
  <c r="BV87"/>
  <c r="BW87"/>
  <c r="AA88"/>
  <c r="AI88"/>
  <c r="AJ88"/>
  <c r="BA88"/>
  <c r="AI89"/>
  <c r="AJ89"/>
  <c r="S91"/>
  <c r="DV91"/>
  <c r="S92"/>
  <c r="DV92"/>
  <c r="S93"/>
  <c r="DV93"/>
  <c r="S94"/>
  <c r="DV94"/>
  <c r="S95"/>
  <c r="DV95"/>
  <c r="S96"/>
  <c r="DV96"/>
  <c r="S97"/>
  <c r="DV97"/>
  <c r="S98"/>
  <c r="DV98"/>
  <c r="S99"/>
  <c r="DV99"/>
  <c r="S100"/>
  <c r="DV100"/>
  <c r="S101"/>
  <c r="DV101"/>
  <c r="S102"/>
  <c r="DV102"/>
  <c r="S103"/>
  <c r="BM103"/>
  <c r="BM115" s="1"/>
  <c r="DV103"/>
  <c r="S104"/>
  <c r="DV104"/>
  <c r="S105"/>
  <c r="DV105"/>
  <c r="S106"/>
  <c r="DV106"/>
  <c r="S107"/>
  <c r="DV107"/>
  <c r="S108"/>
  <c r="DV108"/>
  <c r="S109"/>
  <c r="DV109"/>
  <c r="S110"/>
  <c r="DV110"/>
  <c r="S111"/>
  <c r="DV111"/>
  <c r="S112"/>
  <c r="DV112"/>
  <c r="S113"/>
  <c r="DV113"/>
  <c r="S114"/>
  <c r="DV114"/>
  <c r="C115"/>
  <c r="D115"/>
  <c r="E115"/>
  <c r="F115"/>
  <c r="G115"/>
  <c r="H115"/>
  <c r="J115"/>
  <c r="K115"/>
  <c r="O115"/>
  <c r="I115"/>
  <c r="L115"/>
  <c r="P115"/>
  <c r="Q115"/>
  <c r="R115"/>
  <c r="T115"/>
  <c r="U115"/>
  <c r="W115"/>
  <c r="X115"/>
  <c r="Z115"/>
  <c r="AA115"/>
  <c r="AC115"/>
  <c r="AD115"/>
  <c r="AE115"/>
  <c r="AG115"/>
  <c r="AH115"/>
  <c r="AI115"/>
  <c r="AJ115"/>
  <c r="AL115"/>
  <c r="AM115"/>
  <c r="AN115"/>
  <c r="AO115"/>
  <c r="AP115"/>
  <c r="AQ115"/>
  <c r="AR115"/>
  <c r="AS115"/>
  <c r="AT115"/>
  <c r="AU115"/>
  <c r="AV115"/>
  <c r="BA115"/>
  <c r="BB115"/>
  <c r="BO115"/>
  <c r="BP115"/>
  <c r="BV115"/>
  <c r="BW115"/>
  <c r="C116"/>
  <c r="D116"/>
  <c r="E116"/>
  <c r="F116"/>
  <c r="G116"/>
  <c r="H116"/>
  <c r="J116"/>
  <c r="K116"/>
  <c r="O116"/>
  <c r="I116"/>
  <c r="L116"/>
  <c r="P116"/>
  <c r="Q116"/>
  <c r="R116"/>
  <c r="T116"/>
  <c r="U116"/>
  <c r="W116"/>
  <c r="X116"/>
  <c r="Z116"/>
  <c r="AA116"/>
  <c r="AC116"/>
  <c r="AD116"/>
  <c r="AG116"/>
  <c r="AH116"/>
  <c r="AI116"/>
  <c r="AJ116"/>
  <c r="AL116"/>
  <c r="AM116"/>
  <c r="AO116"/>
  <c r="AP116"/>
  <c r="AR116"/>
  <c r="AS116"/>
  <c r="AT116"/>
  <c r="AU116"/>
  <c r="AV116"/>
  <c r="BA116"/>
  <c r="BB116"/>
  <c r="BO116"/>
  <c r="BP116"/>
  <c r="BV116"/>
  <c r="BW116"/>
  <c r="AA117"/>
  <c r="AI117"/>
  <c r="AJ117"/>
  <c r="BA117"/>
  <c r="AI118"/>
  <c r="AJ118"/>
  <c r="S120"/>
  <c r="DV120"/>
  <c r="S121"/>
  <c r="DV121"/>
  <c r="S122"/>
  <c r="DV122"/>
  <c r="S123"/>
  <c r="DV123"/>
  <c r="S124"/>
  <c r="DV124"/>
  <c r="S125"/>
  <c r="DV125"/>
  <c r="S126"/>
  <c r="DV126"/>
  <c r="S127"/>
  <c r="DV127"/>
  <c r="S128"/>
  <c r="DV128"/>
  <c r="S129"/>
  <c r="DV129"/>
  <c r="S130"/>
  <c r="DV130"/>
  <c r="S131"/>
  <c r="DV131"/>
  <c r="S132"/>
  <c r="BM132"/>
  <c r="BM144" s="1"/>
  <c r="DV132"/>
  <c r="S133"/>
  <c r="DV133"/>
  <c r="S134"/>
  <c r="DV134"/>
  <c r="S135"/>
  <c r="DV135"/>
  <c r="S136"/>
  <c r="DV136"/>
  <c r="S137"/>
  <c r="DV137"/>
  <c r="S138"/>
  <c r="DV138"/>
  <c r="S139"/>
  <c r="DV139"/>
  <c r="S140"/>
  <c r="DV140"/>
  <c r="S141"/>
  <c r="DV141"/>
  <c r="S142"/>
  <c r="DV142"/>
  <c r="S143"/>
  <c r="DV143"/>
  <c r="C144"/>
  <c r="D144"/>
  <c r="E144"/>
  <c r="F144"/>
  <c r="G144"/>
  <c r="H144"/>
  <c r="J144"/>
  <c r="K144"/>
  <c r="O144"/>
  <c r="I144"/>
  <c r="L144"/>
  <c r="P144"/>
  <c r="Q144"/>
  <c r="R144"/>
  <c r="T144"/>
  <c r="U144"/>
  <c r="W144"/>
  <c r="X144"/>
  <c r="Z144"/>
  <c r="AA144"/>
  <c r="AC144"/>
  <c r="AD144"/>
  <c r="AE144"/>
  <c r="AG144"/>
  <c r="AH144"/>
  <c r="AI144"/>
  <c r="AJ144"/>
  <c r="AL144"/>
  <c r="AM144"/>
  <c r="AN144"/>
  <c r="AO144"/>
  <c r="AP144"/>
  <c r="AQ144"/>
  <c r="AR144"/>
  <c r="AS144"/>
  <c r="AT144"/>
  <c r="AU144"/>
  <c r="AV144"/>
  <c r="BA144"/>
  <c r="BB144"/>
  <c r="BO144"/>
  <c r="BP144"/>
  <c r="BV144"/>
  <c r="BW144"/>
  <c r="C145"/>
  <c r="D145"/>
  <c r="E145"/>
  <c r="F145"/>
  <c r="G145"/>
  <c r="H145"/>
  <c r="J145"/>
  <c r="K145"/>
  <c r="O145"/>
  <c r="I145"/>
  <c r="L145"/>
  <c r="P145"/>
  <c r="Q145"/>
  <c r="R145"/>
  <c r="T145"/>
  <c r="U145"/>
  <c r="W145"/>
  <c r="X145"/>
  <c r="Z145"/>
  <c r="AA145"/>
  <c r="AC145"/>
  <c r="AD145"/>
  <c r="AG145"/>
  <c r="AH145"/>
  <c r="AI145"/>
  <c r="AJ145"/>
  <c r="AL145"/>
  <c r="AM145"/>
  <c r="AO145"/>
  <c r="AP145"/>
  <c r="AR145"/>
  <c r="AS145"/>
  <c r="AT145"/>
  <c r="AU145"/>
  <c r="AV145"/>
  <c r="BA145"/>
  <c r="BB145"/>
  <c r="BO145"/>
  <c r="BP145"/>
  <c r="BV145"/>
  <c r="BW145"/>
  <c r="AA146"/>
  <c r="AI146"/>
  <c r="AJ146"/>
  <c r="BA146"/>
  <c r="AI147"/>
  <c r="AJ147"/>
  <c r="S149"/>
  <c r="DV149"/>
  <c r="S150"/>
  <c r="DV150"/>
  <c r="S151"/>
  <c r="DV151"/>
  <c r="S152"/>
  <c r="DV152"/>
  <c r="S153"/>
  <c r="DV153"/>
  <c r="S154"/>
  <c r="DV154"/>
  <c r="S155"/>
  <c r="DV155"/>
  <c r="S156"/>
  <c r="DV156"/>
  <c r="S157"/>
  <c r="DV157"/>
  <c r="S158"/>
  <c r="DV158"/>
  <c r="S159"/>
  <c r="DV159"/>
  <c r="S160"/>
  <c r="DV160"/>
  <c r="S161"/>
  <c r="AN161"/>
  <c r="AN173" s="1"/>
  <c r="AQ161"/>
  <c r="AQ173" s="1"/>
  <c r="BM161"/>
  <c r="BM174" s="1"/>
  <c r="DV161"/>
  <c r="S162"/>
  <c r="DV162"/>
  <c r="S163"/>
  <c r="DV163"/>
  <c r="S164"/>
  <c r="DV164"/>
  <c r="S165"/>
  <c r="DV165"/>
  <c r="S166"/>
  <c r="DV166"/>
  <c r="S167"/>
  <c r="DV167"/>
  <c r="S168"/>
  <c r="DV168"/>
  <c r="S169"/>
  <c r="DV169"/>
  <c r="S170"/>
  <c r="DV170"/>
  <c r="S171"/>
  <c r="DV171"/>
  <c r="S172"/>
  <c r="DV172"/>
  <c r="C173"/>
  <c r="D173"/>
  <c r="E173"/>
  <c r="F173"/>
  <c r="G173"/>
  <c r="H173"/>
  <c r="J173"/>
  <c r="K173"/>
  <c r="O173"/>
  <c r="I173"/>
  <c r="L173"/>
  <c r="P173"/>
  <c r="Q173"/>
  <c r="R173"/>
  <c r="T173"/>
  <c r="U173"/>
  <c r="W173"/>
  <c r="X173"/>
  <c r="Z173"/>
  <c r="AA173"/>
  <c r="AC173"/>
  <c r="AD173"/>
  <c r="AE173"/>
  <c r="AG173"/>
  <c r="AH173"/>
  <c r="AI173"/>
  <c r="AJ173"/>
  <c r="AL173"/>
  <c r="AM173"/>
  <c r="AO173"/>
  <c r="AP173"/>
  <c r="AR173"/>
  <c r="AS173"/>
  <c r="AT173"/>
  <c r="AU173"/>
  <c r="AV173"/>
  <c r="BA173"/>
  <c r="BB173"/>
  <c r="BO173"/>
  <c r="BP173"/>
  <c r="BV173"/>
  <c r="BW173"/>
  <c r="C174"/>
  <c r="D174"/>
  <c r="E174"/>
  <c r="F174"/>
  <c r="G174"/>
  <c r="H174"/>
  <c r="J174"/>
  <c r="K174"/>
  <c r="O174"/>
  <c r="I174"/>
  <c r="L174"/>
  <c r="P174"/>
  <c r="Q174"/>
  <c r="R174"/>
  <c r="T174"/>
  <c r="U174"/>
  <c r="W174"/>
  <c r="X174"/>
  <c r="Z174"/>
  <c r="AA174"/>
  <c r="AC174"/>
  <c r="AD174"/>
  <c r="AG174"/>
  <c r="AH174"/>
  <c r="AI174"/>
  <c r="AJ174"/>
  <c r="AL174"/>
  <c r="AM174"/>
  <c r="AO174"/>
  <c r="AP174"/>
  <c r="AR174"/>
  <c r="AS174"/>
  <c r="AT174"/>
  <c r="AU174"/>
  <c r="AV174"/>
  <c r="BA174"/>
  <c r="BB174"/>
  <c r="BO174"/>
  <c r="BP174"/>
  <c r="BV174"/>
  <c r="BW174"/>
  <c r="AA175"/>
  <c r="AI175"/>
  <c r="AJ175"/>
  <c r="BA175"/>
  <c r="AI176"/>
  <c r="AJ176"/>
  <c r="S178"/>
  <c r="AN178"/>
  <c r="AQ178"/>
  <c r="DV178"/>
  <c r="S179"/>
  <c r="DV179"/>
  <c r="S180"/>
  <c r="DV180"/>
  <c r="S181"/>
  <c r="DV181"/>
  <c r="S182"/>
  <c r="DV182"/>
  <c r="S183"/>
  <c r="DV183"/>
  <c r="S184"/>
  <c r="DV184"/>
  <c r="S185"/>
  <c r="DV185"/>
  <c r="S186"/>
  <c r="DV186"/>
  <c r="S187"/>
  <c r="DV187"/>
  <c r="S188"/>
  <c r="DV188"/>
  <c r="S189"/>
  <c r="DV189"/>
  <c r="S190"/>
  <c r="BM190"/>
  <c r="BM202" s="1"/>
  <c r="DV190"/>
  <c r="S191"/>
  <c r="DV191"/>
  <c r="S192"/>
  <c r="DV192"/>
  <c r="S193"/>
  <c r="DV193"/>
  <c r="S194"/>
  <c r="AN194"/>
  <c r="AQ194"/>
  <c r="DV194"/>
  <c r="S195"/>
  <c r="DV195"/>
  <c r="S196"/>
  <c r="DV196"/>
  <c r="S197"/>
  <c r="DV197"/>
  <c r="S198"/>
  <c r="DV198"/>
  <c r="S199"/>
  <c r="DV199"/>
  <c r="S200"/>
  <c r="DV200"/>
  <c r="S201"/>
  <c r="DV201"/>
  <c r="C202"/>
  <c r="D202"/>
  <c r="E202"/>
  <c r="F202"/>
  <c r="G202"/>
  <c r="H202"/>
  <c r="J202"/>
  <c r="K202"/>
  <c r="O202"/>
  <c r="I202"/>
  <c r="L202"/>
  <c r="P202"/>
  <c r="Q202"/>
  <c r="R202"/>
  <c r="T202"/>
  <c r="U202"/>
  <c r="W202"/>
  <c r="X202"/>
  <c r="Z202"/>
  <c r="AA202"/>
  <c r="AC202"/>
  <c r="AD202"/>
  <c r="AE202"/>
  <c r="AG202"/>
  <c r="AH202"/>
  <c r="AI202"/>
  <c r="AJ202"/>
  <c r="AL202"/>
  <c r="AM202"/>
  <c r="AO202"/>
  <c r="AP202"/>
  <c r="AR202"/>
  <c r="AS202"/>
  <c r="AT202"/>
  <c r="AU202"/>
  <c r="AV202"/>
  <c r="BA202"/>
  <c r="BB202"/>
  <c r="BO202"/>
  <c r="BP202"/>
  <c r="BV202"/>
  <c r="BW202"/>
  <c r="C203"/>
  <c r="D203"/>
  <c r="E203"/>
  <c r="F203"/>
  <c r="G203"/>
  <c r="H203"/>
  <c r="J203"/>
  <c r="K203"/>
  <c r="O203"/>
  <c r="I203"/>
  <c r="L203"/>
  <c r="P203"/>
  <c r="Q203"/>
  <c r="R203"/>
  <c r="T203"/>
  <c r="U203"/>
  <c r="W203"/>
  <c r="X203"/>
  <c r="Z203"/>
  <c r="AA203"/>
  <c r="AC203"/>
  <c r="AD203"/>
  <c r="AG203"/>
  <c r="AH203"/>
  <c r="AI203"/>
  <c r="AJ203"/>
  <c r="AL203"/>
  <c r="AM203"/>
  <c r="AO203"/>
  <c r="AP203"/>
  <c r="AR203"/>
  <c r="AS203"/>
  <c r="AT203"/>
  <c r="AU203"/>
  <c r="AV203"/>
  <c r="BA203"/>
  <c r="BB203"/>
  <c r="BO203"/>
  <c r="BP203"/>
  <c r="BV203"/>
  <c r="BW203"/>
  <c r="AA204"/>
  <c r="AI204"/>
  <c r="AJ204"/>
  <c r="BA204"/>
  <c r="AI205"/>
  <c r="AJ205"/>
  <c r="S207"/>
  <c r="DV207"/>
  <c r="S208"/>
  <c r="DV208"/>
  <c r="S209"/>
  <c r="DV209"/>
  <c r="S210"/>
  <c r="DV210"/>
  <c r="S211"/>
  <c r="DV211"/>
  <c r="S212"/>
  <c r="DV212"/>
  <c r="S213"/>
  <c r="DV213"/>
  <c r="S214"/>
  <c r="DV214"/>
  <c r="S215"/>
  <c r="AN215"/>
  <c r="AQ215"/>
  <c r="DV215"/>
  <c r="S216"/>
  <c r="DV216"/>
  <c r="S217"/>
  <c r="DV217"/>
  <c r="S218"/>
  <c r="DV218"/>
  <c r="S219"/>
  <c r="DV219"/>
  <c r="DV220"/>
  <c r="DW220" s="1"/>
  <c r="S221"/>
  <c r="DV221"/>
  <c r="S222"/>
  <c r="AL222"/>
  <c r="AL12" i="3" s="1"/>
  <c r="AQ222" i="2"/>
  <c r="DV222"/>
  <c r="S223"/>
  <c r="DV223"/>
  <c r="S224"/>
  <c r="DV224"/>
  <c r="S225"/>
  <c r="DV225"/>
  <c r="S226"/>
  <c r="DV226"/>
  <c r="S227"/>
  <c r="DV227"/>
  <c r="S228"/>
  <c r="DV228"/>
  <c r="S229"/>
  <c r="DV229"/>
  <c r="S230"/>
  <c r="DV230"/>
  <c r="C231"/>
  <c r="D231"/>
  <c r="E231"/>
  <c r="F231"/>
  <c r="G231"/>
  <c r="H231"/>
  <c r="J231"/>
  <c r="K231"/>
  <c r="O231"/>
  <c r="I231"/>
  <c r="L231"/>
  <c r="P231"/>
  <c r="Q231"/>
  <c r="R231"/>
  <c r="T231"/>
  <c r="U231"/>
  <c r="W231"/>
  <c r="X231"/>
  <c r="Z231"/>
  <c r="AA231"/>
  <c r="AC231"/>
  <c r="AD231"/>
  <c r="AE231"/>
  <c r="AG231"/>
  <c r="AH231"/>
  <c r="AI231"/>
  <c r="AJ231"/>
  <c r="AM231"/>
  <c r="AO231"/>
  <c r="AP231"/>
  <c r="AR231"/>
  <c r="AS231"/>
  <c r="AT231"/>
  <c r="AU231"/>
  <c r="AV231"/>
  <c r="BA231"/>
  <c r="BB231"/>
  <c r="BM231"/>
  <c r="BO231"/>
  <c r="BP231"/>
  <c r="BV231"/>
  <c r="BW231"/>
  <c r="C232"/>
  <c r="D232"/>
  <c r="E232"/>
  <c r="F232"/>
  <c r="G232"/>
  <c r="H232"/>
  <c r="J232"/>
  <c r="K232"/>
  <c r="O232"/>
  <c r="I232"/>
  <c r="L232"/>
  <c r="P232"/>
  <c r="Q232"/>
  <c r="R232"/>
  <c r="T232"/>
  <c r="U232"/>
  <c r="W232"/>
  <c r="X232"/>
  <c r="Z232"/>
  <c r="AA232"/>
  <c r="AC232"/>
  <c r="AD232"/>
  <c r="AG232"/>
  <c r="AH232"/>
  <c r="AI232"/>
  <c r="AJ232"/>
  <c r="AM232"/>
  <c r="AO232"/>
  <c r="AP232"/>
  <c r="AR232"/>
  <c r="AS232"/>
  <c r="AT232"/>
  <c r="AU232"/>
  <c r="AV232"/>
  <c r="BA232"/>
  <c r="BB232"/>
  <c r="BM232"/>
  <c r="BO232"/>
  <c r="BO12" i="3" s="1"/>
  <c r="BP232" i="2"/>
  <c r="BV232"/>
  <c r="BW232"/>
  <c r="AA233"/>
  <c r="AI233"/>
  <c r="AJ233"/>
  <c r="BA233"/>
  <c r="AI234"/>
  <c r="AJ234"/>
  <c r="S236"/>
  <c r="AE236"/>
  <c r="AN236"/>
  <c r="AQ236"/>
  <c r="DV236"/>
  <c r="S237"/>
  <c r="AE237"/>
  <c r="DV237"/>
  <c r="S238"/>
  <c r="AE238"/>
  <c r="DV238"/>
  <c r="S239"/>
  <c r="AE239"/>
  <c r="DV239"/>
  <c r="S240"/>
  <c r="AE240"/>
  <c r="DV240"/>
  <c r="S241"/>
  <c r="AE241"/>
  <c r="DV241"/>
  <c r="S242"/>
  <c r="AE242"/>
  <c r="DV242"/>
  <c r="S243"/>
  <c r="AE243"/>
  <c r="DV243"/>
  <c r="S244"/>
  <c r="AE244"/>
  <c r="DV244"/>
  <c r="S245"/>
  <c r="AE245"/>
  <c r="DV245"/>
  <c r="S246"/>
  <c r="AE246"/>
  <c r="DV246"/>
  <c r="S247"/>
  <c r="AE247"/>
  <c r="DV247"/>
  <c r="S248"/>
  <c r="AE248"/>
  <c r="DV248"/>
  <c r="S249"/>
  <c r="AE249"/>
  <c r="DV249"/>
  <c r="S250"/>
  <c r="AE250"/>
  <c r="DV250"/>
  <c r="S251"/>
  <c r="AE251"/>
  <c r="DV251"/>
  <c r="S252"/>
  <c r="AE252"/>
  <c r="AN252"/>
  <c r="AQ252"/>
  <c r="DV252"/>
  <c r="S253"/>
  <c r="AE253"/>
  <c r="DV253"/>
  <c r="S254"/>
  <c r="AE254"/>
  <c r="DV254"/>
  <c r="S255"/>
  <c r="AE255"/>
  <c r="DV255"/>
  <c r="S256"/>
  <c r="AE256"/>
  <c r="DV256"/>
  <c r="S257"/>
  <c r="AE257"/>
  <c r="DV257"/>
  <c r="S258"/>
  <c r="AE258"/>
  <c r="DV258"/>
  <c r="S259"/>
  <c r="AE259"/>
  <c r="DV259"/>
  <c r="C260"/>
  <c r="D260"/>
  <c r="E260"/>
  <c r="F260"/>
  <c r="G260"/>
  <c r="H260"/>
  <c r="J260"/>
  <c r="K260"/>
  <c r="O260"/>
  <c r="I260"/>
  <c r="L260"/>
  <c r="P260"/>
  <c r="Q260"/>
  <c r="R260"/>
  <c r="T260"/>
  <c r="U260"/>
  <c r="W260"/>
  <c r="X260"/>
  <c r="Z260"/>
  <c r="AA260"/>
  <c r="AC260"/>
  <c r="AD260"/>
  <c r="AG260"/>
  <c r="AH260"/>
  <c r="AI260"/>
  <c r="AJ260"/>
  <c r="AL260"/>
  <c r="AM260"/>
  <c r="AO260"/>
  <c r="AP260"/>
  <c r="AR260"/>
  <c r="AS260"/>
  <c r="AT260"/>
  <c r="AU260"/>
  <c r="AV260"/>
  <c r="BA260"/>
  <c r="BB260"/>
  <c r="BM260"/>
  <c r="BO260"/>
  <c r="BP260"/>
  <c r="BV260"/>
  <c r="BW260"/>
  <c r="C261"/>
  <c r="D261"/>
  <c r="E261"/>
  <c r="F261"/>
  <c r="G261"/>
  <c r="H261"/>
  <c r="J261"/>
  <c r="K261"/>
  <c r="O261"/>
  <c r="I261"/>
  <c r="L261"/>
  <c r="P261"/>
  <c r="Q261"/>
  <c r="R261"/>
  <c r="T261"/>
  <c r="U261"/>
  <c r="W261"/>
  <c r="X261"/>
  <c r="Z261"/>
  <c r="AA261"/>
  <c r="AC261"/>
  <c r="AD261"/>
  <c r="AG261"/>
  <c r="AH261"/>
  <c r="AI261"/>
  <c r="AJ261"/>
  <c r="AL261"/>
  <c r="AM261"/>
  <c r="AO261"/>
  <c r="AP261"/>
  <c r="AR261"/>
  <c r="AS261"/>
  <c r="AT261"/>
  <c r="AU261"/>
  <c r="AV261"/>
  <c r="BA261"/>
  <c r="BB261"/>
  <c r="BM261"/>
  <c r="BO261"/>
  <c r="BP261"/>
  <c r="BV261"/>
  <c r="BW261"/>
  <c r="AA262"/>
  <c r="AI262"/>
  <c r="AJ262"/>
  <c r="BA262"/>
  <c r="AI263"/>
  <c r="AJ263"/>
  <c r="S265"/>
  <c r="AE265"/>
  <c r="AN265"/>
  <c r="AQ265"/>
  <c r="DV265"/>
  <c r="S266"/>
  <c r="AE266"/>
  <c r="DV266"/>
  <c r="S267"/>
  <c r="AE267"/>
  <c r="DV267"/>
  <c r="S268"/>
  <c r="AE268"/>
  <c r="DV268"/>
  <c r="S269"/>
  <c r="AE269"/>
  <c r="DV269"/>
  <c r="S270"/>
  <c r="AE270"/>
  <c r="AN270"/>
  <c r="AQ270"/>
  <c r="DV270"/>
  <c r="S271"/>
  <c r="AE271"/>
  <c r="DV271"/>
  <c r="S272"/>
  <c r="AE272"/>
  <c r="DV272"/>
  <c r="S273"/>
  <c r="AE273"/>
  <c r="DV273"/>
  <c r="S274"/>
  <c r="AE274"/>
  <c r="DV274"/>
  <c r="S275"/>
  <c r="AE275"/>
  <c r="DV275"/>
  <c r="S276"/>
  <c r="AE276"/>
  <c r="DV276"/>
  <c r="S277"/>
  <c r="AE277"/>
  <c r="AN277"/>
  <c r="AQ277"/>
  <c r="DV277"/>
  <c r="S278"/>
  <c r="AE278"/>
  <c r="DV278"/>
  <c r="S279"/>
  <c r="AE279"/>
  <c r="DV279"/>
  <c r="S280"/>
  <c r="AE280"/>
  <c r="DV280"/>
  <c r="S281"/>
  <c r="AE281"/>
  <c r="DV281"/>
  <c r="S282"/>
  <c r="AE282"/>
  <c r="DV282"/>
  <c r="S283"/>
  <c r="AE283"/>
  <c r="AN283"/>
  <c r="AQ283"/>
  <c r="DV283"/>
  <c r="S284"/>
  <c r="AE284"/>
  <c r="DV284"/>
  <c r="S285"/>
  <c r="AE285"/>
  <c r="DV285"/>
  <c r="S286"/>
  <c r="AE286"/>
  <c r="DV286"/>
  <c r="S287"/>
  <c r="AE287"/>
  <c r="DV287"/>
  <c r="S288"/>
  <c r="AE288"/>
  <c r="DV288"/>
  <c r="C289"/>
  <c r="D289"/>
  <c r="E289"/>
  <c r="F289"/>
  <c r="G289"/>
  <c r="H289"/>
  <c r="J289"/>
  <c r="K289"/>
  <c r="O289"/>
  <c r="I289"/>
  <c r="L289"/>
  <c r="P289"/>
  <c r="Q289"/>
  <c r="R289"/>
  <c r="T289"/>
  <c r="U289"/>
  <c r="W289"/>
  <c r="X289"/>
  <c r="Z289"/>
  <c r="AA289"/>
  <c r="AC289"/>
  <c r="AD289"/>
  <c r="AG289"/>
  <c r="AH289"/>
  <c r="AI289"/>
  <c r="AJ289"/>
  <c r="AL289"/>
  <c r="AM289"/>
  <c r="AO289"/>
  <c r="AP289"/>
  <c r="AR289"/>
  <c r="AS289"/>
  <c r="AT289"/>
  <c r="AU289"/>
  <c r="AV289"/>
  <c r="BA289"/>
  <c r="BB289"/>
  <c r="BC289"/>
  <c r="BE289"/>
  <c r="BF289"/>
  <c r="BG289"/>
  <c r="BI289"/>
  <c r="BM289"/>
  <c r="BO289"/>
  <c r="BP289"/>
  <c r="BV289"/>
  <c r="BW289"/>
  <c r="C290"/>
  <c r="D290"/>
  <c r="E290"/>
  <c r="F290"/>
  <c r="G290"/>
  <c r="H290"/>
  <c r="J290"/>
  <c r="K290"/>
  <c r="O290"/>
  <c r="I290"/>
  <c r="L290"/>
  <c r="P290"/>
  <c r="Q290"/>
  <c r="R290"/>
  <c r="T290"/>
  <c r="U290"/>
  <c r="W290"/>
  <c r="X290"/>
  <c r="Z290"/>
  <c r="AA290"/>
  <c r="AC290"/>
  <c r="AD290"/>
  <c r="AG290"/>
  <c r="AH290"/>
  <c r="AI290"/>
  <c r="AJ290"/>
  <c r="AL290"/>
  <c r="AM290"/>
  <c r="AO290"/>
  <c r="AP290"/>
  <c r="AR290"/>
  <c r="AS290"/>
  <c r="AT290"/>
  <c r="AU290"/>
  <c r="AV290"/>
  <c r="BA290"/>
  <c r="BB290"/>
  <c r="BC290"/>
  <c r="BE290"/>
  <c r="BF290"/>
  <c r="BG290"/>
  <c r="BI290"/>
  <c r="BM290"/>
  <c r="BO290"/>
  <c r="BP290"/>
  <c r="BV290"/>
  <c r="BW290"/>
  <c r="AA291"/>
  <c r="AI291"/>
  <c r="AJ291"/>
  <c r="BA291"/>
  <c r="AI292"/>
  <c r="AJ292"/>
  <c r="S294"/>
  <c r="AE294"/>
  <c r="AN294"/>
  <c r="AQ294"/>
  <c r="DV294"/>
  <c r="S295"/>
  <c r="AE295"/>
  <c r="DV295"/>
  <c r="S296"/>
  <c r="AE296"/>
  <c r="DV296"/>
  <c r="S297"/>
  <c r="AE297"/>
  <c r="DV297"/>
  <c r="S298"/>
  <c r="AE298"/>
  <c r="DV298"/>
  <c r="S299"/>
  <c r="AE299"/>
  <c r="DV299"/>
  <c r="S300"/>
  <c r="AE300"/>
  <c r="AN300"/>
  <c r="AQ300"/>
  <c r="DV300"/>
  <c r="S301"/>
  <c r="AE301"/>
  <c r="DV301"/>
  <c r="S302"/>
  <c r="AE302"/>
  <c r="DV302"/>
  <c r="S303"/>
  <c r="AE303"/>
  <c r="DV303"/>
  <c r="S304"/>
  <c r="AE304"/>
  <c r="DV304"/>
  <c r="S305"/>
  <c r="AE305"/>
  <c r="DV305"/>
  <c r="S306"/>
  <c r="AE306"/>
  <c r="AN306"/>
  <c r="AQ306"/>
  <c r="DV306"/>
  <c r="S307"/>
  <c r="AE307"/>
  <c r="DV307"/>
  <c r="S308"/>
  <c r="AE308"/>
  <c r="DV308"/>
  <c r="S309"/>
  <c r="AE309"/>
  <c r="DV309"/>
  <c r="S310"/>
  <c r="AE310"/>
  <c r="DV310"/>
  <c r="S311"/>
  <c r="AE311"/>
  <c r="DV311"/>
  <c r="S312"/>
  <c r="AE312"/>
  <c r="AN312"/>
  <c r="AQ312"/>
  <c r="DV312"/>
  <c r="S313"/>
  <c r="AE313"/>
  <c r="DV313"/>
  <c r="S314"/>
  <c r="AE314"/>
  <c r="DV314"/>
  <c r="S315"/>
  <c r="AE315"/>
  <c r="DV315"/>
  <c r="S316"/>
  <c r="AE316"/>
  <c r="DV316"/>
  <c r="S317"/>
  <c r="AE317"/>
  <c r="DV317"/>
  <c r="C318"/>
  <c r="D318"/>
  <c r="E318"/>
  <c r="F318"/>
  <c r="G318"/>
  <c r="H318"/>
  <c r="J318"/>
  <c r="K318"/>
  <c r="O318"/>
  <c r="I318"/>
  <c r="L318"/>
  <c r="P318"/>
  <c r="Q318"/>
  <c r="R318"/>
  <c r="T318"/>
  <c r="U318"/>
  <c r="W318"/>
  <c r="X318"/>
  <c r="Z318"/>
  <c r="AA318"/>
  <c r="AC318"/>
  <c r="AD318"/>
  <c r="AG318"/>
  <c r="AH318"/>
  <c r="AI318"/>
  <c r="AJ318"/>
  <c r="AL318"/>
  <c r="AM318"/>
  <c r="AO318"/>
  <c r="AP318"/>
  <c r="AR318"/>
  <c r="AS318"/>
  <c r="AT318"/>
  <c r="AU318"/>
  <c r="AV318"/>
  <c r="BA318"/>
  <c r="BB318"/>
  <c r="BC318"/>
  <c r="BE318"/>
  <c r="BF318"/>
  <c r="BG318"/>
  <c r="BI318"/>
  <c r="BM318"/>
  <c r="BO318"/>
  <c r="BP318"/>
  <c r="BV318"/>
  <c r="BW318"/>
  <c r="C319"/>
  <c r="D319"/>
  <c r="E319"/>
  <c r="F319"/>
  <c r="G319"/>
  <c r="H319"/>
  <c r="J319"/>
  <c r="K319"/>
  <c r="O319"/>
  <c r="I319"/>
  <c r="L319"/>
  <c r="P319"/>
  <c r="Q319"/>
  <c r="R319"/>
  <c r="T319"/>
  <c r="U319"/>
  <c r="W319"/>
  <c r="X319"/>
  <c r="Z319"/>
  <c r="AA319"/>
  <c r="AC319"/>
  <c r="AD319"/>
  <c r="AG319"/>
  <c r="AH319"/>
  <c r="AI319"/>
  <c r="AJ319"/>
  <c r="AL319"/>
  <c r="AM319"/>
  <c r="AO319"/>
  <c r="AP319"/>
  <c r="AR319"/>
  <c r="AS319"/>
  <c r="AT319"/>
  <c r="AU319"/>
  <c r="AV319"/>
  <c r="BA319"/>
  <c r="BB319"/>
  <c r="BC319"/>
  <c r="BE319"/>
  <c r="BF319"/>
  <c r="BG319"/>
  <c r="BI319"/>
  <c r="BM319"/>
  <c r="BO319"/>
  <c r="BP319"/>
  <c r="BV319"/>
  <c r="BW319"/>
  <c r="AA320"/>
  <c r="AI320"/>
  <c r="AJ320"/>
  <c r="BA320"/>
  <c r="AI321"/>
  <c r="AJ321"/>
  <c r="S323"/>
  <c r="AE323"/>
  <c r="AN323"/>
  <c r="AQ323"/>
  <c r="DV323"/>
  <c r="S324"/>
  <c r="AE324"/>
  <c r="DV324"/>
  <c r="S325"/>
  <c r="AE325"/>
  <c r="DV325"/>
  <c r="S326"/>
  <c r="AE326"/>
  <c r="DV326"/>
  <c r="S327"/>
  <c r="AE327"/>
  <c r="AN327"/>
  <c r="AQ327"/>
  <c r="DV327"/>
  <c r="S328"/>
  <c r="AE328"/>
  <c r="DV328"/>
  <c r="S329"/>
  <c r="AE329"/>
  <c r="DV329"/>
  <c r="S330"/>
  <c r="AE330"/>
  <c r="DV330"/>
  <c r="S331"/>
  <c r="AE331"/>
  <c r="AQ331"/>
  <c r="DV331"/>
  <c r="S332"/>
  <c r="AE332"/>
  <c r="DV332"/>
  <c r="S333"/>
  <c r="AE333"/>
  <c r="DV333"/>
  <c r="S334"/>
  <c r="AE334"/>
  <c r="DV334"/>
  <c r="S335"/>
  <c r="AE335"/>
  <c r="AN335"/>
  <c r="AQ335"/>
  <c r="DV335"/>
  <c r="S336"/>
  <c r="AE336"/>
  <c r="DV336"/>
  <c r="S337"/>
  <c r="AE337"/>
  <c r="DV337"/>
  <c r="S338"/>
  <c r="AE338"/>
  <c r="DV338"/>
  <c r="S339"/>
  <c r="AE339"/>
  <c r="DV339"/>
  <c r="S340"/>
  <c r="AE340"/>
  <c r="DV340"/>
  <c r="S341"/>
  <c r="AE341"/>
  <c r="AN341"/>
  <c r="AQ341"/>
  <c r="DV341"/>
  <c r="S342"/>
  <c r="AE342"/>
  <c r="DV342"/>
  <c r="S343"/>
  <c r="AE343"/>
  <c r="DV343"/>
  <c r="S344"/>
  <c r="AE344"/>
  <c r="DV344"/>
  <c r="S345"/>
  <c r="AE345"/>
  <c r="DV345"/>
  <c r="S346"/>
  <c r="AE346"/>
  <c r="DV346"/>
  <c r="C347"/>
  <c r="D347"/>
  <c r="E347"/>
  <c r="F347"/>
  <c r="G347"/>
  <c r="H347"/>
  <c r="J347"/>
  <c r="K347"/>
  <c r="O347"/>
  <c r="I347"/>
  <c r="L347"/>
  <c r="P347"/>
  <c r="Q347"/>
  <c r="R347"/>
  <c r="T347"/>
  <c r="U347"/>
  <c r="W347"/>
  <c r="X347"/>
  <c r="Z347"/>
  <c r="AA347"/>
  <c r="AC347"/>
  <c r="AD347"/>
  <c r="AG347"/>
  <c r="AH347"/>
  <c r="AI347"/>
  <c r="AJ347"/>
  <c r="AL347"/>
  <c r="AM347"/>
  <c r="AO347"/>
  <c r="AP347"/>
  <c r="AR347"/>
  <c r="AS347"/>
  <c r="AT347"/>
  <c r="AU347"/>
  <c r="AV347"/>
  <c r="BA347"/>
  <c r="BB347"/>
  <c r="BC347"/>
  <c r="BE347"/>
  <c r="BF347"/>
  <c r="BG347"/>
  <c r="BI347"/>
  <c r="BM347"/>
  <c r="BO347"/>
  <c r="BP347"/>
  <c r="BV347"/>
  <c r="BW347"/>
  <c r="C348"/>
  <c r="D348"/>
  <c r="E348"/>
  <c r="F348"/>
  <c r="G348"/>
  <c r="H348"/>
  <c r="J348"/>
  <c r="K348"/>
  <c r="O348"/>
  <c r="I348"/>
  <c r="L348"/>
  <c r="P348"/>
  <c r="Q348"/>
  <c r="R348"/>
  <c r="T348"/>
  <c r="U348"/>
  <c r="W348"/>
  <c r="X348"/>
  <c r="Z348"/>
  <c r="AA348"/>
  <c r="AC348"/>
  <c r="AD348"/>
  <c r="AG348"/>
  <c r="AH348"/>
  <c r="AI348"/>
  <c r="AJ348"/>
  <c r="AL348"/>
  <c r="AM348"/>
  <c r="AO348"/>
  <c r="AP348"/>
  <c r="AR348"/>
  <c r="AS348"/>
  <c r="AT348"/>
  <c r="AU348"/>
  <c r="AV348"/>
  <c r="BA348"/>
  <c r="BB348"/>
  <c r="BC348"/>
  <c r="BE348"/>
  <c r="BF348"/>
  <c r="BG348"/>
  <c r="BI348"/>
  <c r="BM348"/>
  <c r="BO348"/>
  <c r="BP348"/>
  <c r="BV348"/>
  <c r="BW348"/>
  <c r="AA349"/>
  <c r="AI349"/>
  <c r="AJ349"/>
  <c r="BA349"/>
  <c r="AI350"/>
  <c r="AJ350"/>
  <c r="S352"/>
  <c r="AE352"/>
  <c r="AN352"/>
  <c r="AQ352"/>
  <c r="DV352"/>
  <c r="S353"/>
  <c r="AE353"/>
  <c r="DV353"/>
  <c r="S354"/>
  <c r="AE354"/>
  <c r="DV354"/>
  <c r="S355"/>
  <c r="AE355"/>
  <c r="DV355"/>
  <c r="S356"/>
  <c r="AE356"/>
  <c r="DV356"/>
  <c r="S357"/>
  <c r="AE357"/>
  <c r="DV357"/>
  <c r="S358"/>
  <c r="AE358"/>
  <c r="AN358"/>
  <c r="DV358"/>
  <c r="S359"/>
  <c r="AE359"/>
  <c r="DV359"/>
  <c r="S360"/>
  <c r="AE360"/>
  <c r="DV360"/>
  <c r="S361"/>
  <c r="AE361"/>
  <c r="DV361"/>
  <c r="S362"/>
  <c r="AE362"/>
  <c r="DV362"/>
  <c r="S363"/>
  <c r="AE363"/>
  <c r="DV363"/>
  <c r="S364"/>
  <c r="AE364"/>
  <c r="AN364"/>
  <c r="AQ364"/>
  <c r="BM364"/>
  <c r="BM17" i="3" s="1"/>
  <c r="BM58" s="1"/>
  <c r="DV364" i="2"/>
  <c r="S365"/>
  <c r="AE365"/>
  <c r="DV365"/>
  <c r="S366"/>
  <c r="AE366"/>
  <c r="DV366"/>
  <c r="S367"/>
  <c r="AE367"/>
  <c r="DV367"/>
  <c r="S368"/>
  <c r="AE368"/>
  <c r="DV368"/>
  <c r="S369"/>
  <c r="AE369"/>
  <c r="DV369"/>
  <c r="S370"/>
  <c r="AE370"/>
  <c r="AN370"/>
  <c r="AQ370"/>
  <c r="DV370"/>
  <c r="S371"/>
  <c r="AE371"/>
  <c r="DV371"/>
  <c r="S372"/>
  <c r="AE372"/>
  <c r="DV372"/>
  <c r="S373"/>
  <c r="AE373"/>
  <c r="DV373"/>
  <c r="S374"/>
  <c r="AE374"/>
  <c r="DV374"/>
  <c r="S375"/>
  <c r="AE375"/>
  <c r="DV375"/>
  <c r="C376"/>
  <c r="D376"/>
  <c r="E376"/>
  <c r="F376"/>
  <c r="G376"/>
  <c r="H376"/>
  <c r="J376"/>
  <c r="K376"/>
  <c r="O376"/>
  <c r="I376"/>
  <c r="L376"/>
  <c r="P376"/>
  <c r="Q376"/>
  <c r="R376"/>
  <c r="T376"/>
  <c r="U376"/>
  <c r="W376"/>
  <c r="X376"/>
  <c r="Z376"/>
  <c r="AA376"/>
  <c r="AC376"/>
  <c r="AD376"/>
  <c r="AG376"/>
  <c r="AH376"/>
  <c r="AI376"/>
  <c r="AJ376"/>
  <c r="AL376"/>
  <c r="AM376"/>
  <c r="AO376"/>
  <c r="AP376"/>
  <c r="AR376"/>
  <c r="AS376"/>
  <c r="AT376"/>
  <c r="AU376"/>
  <c r="AV376"/>
  <c r="BA376"/>
  <c r="BB376"/>
  <c r="BC376"/>
  <c r="BE376"/>
  <c r="BF376"/>
  <c r="BG376"/>
  <c r="BI376"/>
  <c r="BO376"/>
  <c r="BP376"/>
  <c r="BV376"/>
  <c r="BW376"/>
  <c r="C377"/>
  <c r="D377"/>
  <c r="E377"/>
  <c r="F377"/>
  <c r="G377"/>
  <c r="H377"/>
  <c r="J377"/>
  <c r="K377"/>
  <c r="O377"/>
  <c r="I377"/>
  <c r="L377"/>
  <c r="P377"/>
  <c r="Q377"/>
  <c r="R377"/>
  <c r="T377"/>
  <c r="U377"/>
  <c r="W377"/>
  <c r="X377"/>
  <c r="Z377"/>
  <c r="AA377"/>
  <c r="AC377"/>
  <c r="AD377"/>
  <c r="AG377"/>
  <c r="AH377"/>
  <c r="AI377"/>
  <c r="AJ377"/>
  <c r="AL377"/>
  <c r="AM377"/>
  <c r="AO377"/>
  <c r="AP377"/>
  <c r="AR377"/>
  <c r="AS377"/>
  <c r="AT377"/>
  <c r="AU377"/>
  <c r="AV377"/>
  <c r="BA377"/>
  <c r="BB377"/>
  <c r="BC377"/>
  <c r="BE377"/>
  <c r="BF377"/>
  <c r="BG377"/>
  <c r="BI377"/>
  <c r="BO377"/>
  <c r="BP377"/>
  <c r="BV377"/>
  <c r="BW377"/>
  <c r="AA378"/>
  <c r="AI378"/>
  <c r="AJ378"/>
  <c r="BA378"/>
  <c r="AI379"/>
  <c r="AJ379"/>
  <c r="S381"/>
  <c r="AE381"/>
  <c r="AN381"/>
  <c r="AQ381"/>
  <c r="DV381"/>
  <c r="S382"/>
  <c r="AE382"/>
  <c r="DV382"/>
  <c r="S383"/>
  <c r="AE383"/>
  <c r="DV383"/>
  <c r="S384"/>
  <c r="AE384"/>
  <c r="DV384"/>
  <c r="S385"/>
  <c r="AE385"/>
  <c r="DV385"/>
  <c r="S386"/>
  <c r="AE386"/>
  <c r="DV386"/>
  <c r="S387"/>
  <c r="AE387"/>
  <c r="AN387"/>
  <c r="AQ387"/>
  <c r="DV387"/>
  <c r="S388"/>
  <c r="AE388"/>
  <c r="DV388"/>
  <c r="S389"/>
  <c r="AE389"/>
  <c r="DV389"/>
  <c r="S390"/>
  <c r="AE390"/>
  <c r="DV390"/>
  <c r="S391"/>
  <c r="AE391"/>
  <c r="DV391"/>
  <c r="S392"/>
  <c r="AE392"/>
  <c r="DV392"/>
  <c r="S393"/>
  <c r="AE393"/>
  <c r="AN393"/>
  <c r="AQ393"/>
  <c r="BM393"/>
  <c r="BM18" i="3" s="1"/>
  <c r="BM59" s="1"/>
  <c r="DV393" i="2"/>
  <c r="S394"/>
  <c r="AE394"/>
  <c r="DV394"/>
  <c r="S395"/>
  <c r="AE395"/>
  <c r="DV395"/>
  <c r="S396"/>
  <c r="AE396"/>
  <c r="DV396"/>
  <c r="S397"/>
  <c r="AE397"/>
  <c r="DV397"/>
  <c r="S398"/>
  <c r="AE398"/>
  <c r="DV398"/>
  <c r="S399"/>
  <c r="AE399"/>
  <c r="AN399"/>
  <c r="AQ399"/>
  <c r="DV399"/>
  <c r="S400"/>
  <c r="AE400"/>
  <c r="DV400"/>
  <c r="S401"/>
  <c r="AE401"/>
  <c r="DV401"/>
  <c r="S402"/>
  <c r="AE402"/>
  <c r="DV402"/>
  <c r="S403"/>
  <c r="AE403"/>
  <c r="DV403"/>
  <c r="S404"/>
  <c r="AE404"/>
  <c r="DV404"/>
  <c r="C405"/>
  <c r="D405"/>
  <c r="E405"/>
  <c r="F405"/>
  <c r="G405"/>
  <c r="H405"/>
  <c r="J405"/>
  <c r="K405"/>
  <c r="O405"/>
  <c r="I405"/>
  <c r="L405"/>
  <c r="P405"/>
  <c r="Q405"/>
  <c r="R405"/>
  <c r="T405"/>
  <c r="U405"/>
  <c r="W405"/>
  <c r="X405"/>
  <c r="Z405"/>
  <c r="AA405"/>
  <c r="AC405"/>
  <c r="AD405"/>
  <c r="AG405"/>
  <c r="AH405"/>
  <c r="AI405"/>
  <c r="AJ405"/>
  <c r="AL405"/>
  <c r="AM405"/>
  <c r="AO405"/>
  <c r="AP405"/>
  <c r="AR405"/>
  <c r="AS405"/>
  <c r="AT405"/>
  <c r="AU405"/>
  <c r="AV405"/>
  <c r="BA405"/>
  <c r="BB405"/>
  <c r="BC405"/>
  <c r="BE405"/>
  <c r="BF405"/>
  <c r="BG405"/>
  <c r="BI405"/>
  <c r="BO405"/>
  <c r="BP405"/>
  <c r="BV405"/>
  <c r="BW405"/>
  <c r="C406"/>
  <c r="D406"/>
  <c r="E406"/>
  <c r="F406"/>
  <c r="G406"/>
  <c r="H406"/>
  <c r="J406"/>
  <c r="K406"/>
  <c r="O406"/>
  <c r="I406"/>
  <c r="L406"/>
  <c r="P406"/>
  <c r="Q406"/>
  <c r="R406"/>
  <c r="T406"/>
  <c r="U406"/>
  <c r="W406"/>
  <c r="X406"/>
  <c r="Z406"/>
  <c r="AA406"/>
  <c r="AC406"/>
  <c r="AD406"/>
  <c r="AG406"/>
  <c r="AH406"/>
  <c r="AI406"/>
  <c r="AJ406"/>
  <c r="AL406"/>
  <c r="AM406"/>
  <c r="AO406"/>
  <c r="AP406"/>
  <c r="AR406"/>
  <c r="AS406"/>
  <c r="AT406"/>
  <c r="AU406"/>
  <c r="AV406"/>
  <c r="BA406"/>
  <c r="BB406"/>
  <c r="BC406"/>
  <c r="BE406"/>
  <c r="BF406"/>
  <c r="BG406"/>
  <c r="BI406"/>
  <c r="BO406"/>
  <c r="BP406"/>
  <c r="BV406"/>
  <c r="BW406"/>
  <c r="AA407"/>
  <c r="AI407"/>
  <c r="AJ407"/>
  <c r="BA407"/>
  <c r="AI408"/>
  <c r="AJ408"/>
  <c r="S410"/>
  <c r="AE410"/>
  <c r="AN410"/>
  <c r="AQ410"/>
  <c r="DV410"/>
  <c r="S411"/>
  <c r="AE411"/>
  <c r="DV411"/>
  <c r="S412"/>
  <c r="AE412"/>
  <c r="AQ412"/>
  <c r="DV412"/>
  <c r="S413"/>
  <c r="AE413"/>
  <c r="DV413"/>
  <c r="S414"/>
  <c r="AE414"/>
  <c r="AQ414"/>
  <c r="DV414"/>
  <c r="S415"/>
  <c r="AE415"/>
  <c r="AQ415"/>
  <c r="DV415"/>
  <c r="S416"/>
  <c r="AE416"/>
  <c r="AN416"/>
  <c r="DV416"/>
  <c r="S417"/>
  <c r="AE417"/>
  <c r="DV417"/>
  <c r="S418"/>
  <c r="AE418"/>
  <c r="DV418"/>
  <c r="S419"/>
  <c r="AE419"/>
  <c r="DV419"/>
  <c r="S420"/>
  <c r="AE420"/>
  <c r="DV420"/>
  <c r="S421"/>
  <c r="AE421"/>
  <c r="DV421"/>
  <c r="S422"/>
  <c r="AE422"/>
  <c r="AN422"/>
  <c r="BM422"/>
  <c r="BM435" s="1"/>
  <c r="DV422"/>
  <c r="S423"/>
  <c r="AE423"/>
  <c r="DV423"/>
  <c r="S424"/>
  <c r="AE424"/>
  <c r="DV424"/>
  <c r="S425"/>
  <c r="AE425"/>
  <c r="DV425"/>
  <c r="S426"/>
  <c r="AE426"/>
  <c r="DV426"/>
  <c r="S427"/>
  <c r="AE427"/>
  <c r="DV427"/>
  <c r="S428"/>
  <c r="AE428"/>
  <c r="AN428"/>
  <c r="DV428"/>
  <c r="S429"/>
  <c r="AE429"/>
  <c r="DV429"/>
  <c r="S430"/>
  <c r="AE430"/>
  <c r="DV430"/>
  <c r="S431"/>
  <c r="AE431"/>
  <c r="DV431"/>
  <c r="S432"/>
  <c r="AE432"/>
  <c r="DV432"/>
  <c r="S433"/>
  <c r="AE433"/>
  <c r="DV433"/>
  <c r="C434"/>
  <c r="D434"/>
  <c r="E434"/>
  <c r="F434"/>
  <c r="G434"/>
  <c r="H434"/>
  <c r="J434"/>
  <c r="K434"/>
  <c r="O434"/>
  <c r="I434"/>
  <c r="L434"/>
  <c r="Q434"/>
  <c r="R434"/>
  <c r="T434"/>
  <c r="U434"/>
  <c r="W434"/>
  <c r="X434"/>
  <c r="Z434"/>
  <c r="AA434"/>
  <c r="AC434"/>
  <c r="AD434"/>
  <c r="AG434"/>
  <c r="AH434"/>
  <c r="AI434"/>
  <c r="AJ434"/>
  <c r="AL434"/>
  <c r="AM434"/>
  <c r="AO434"/>
  <c r="AP434"/>
  <c r="AR434"/>
  <c r="AS434"/>
  <c r="AT434"/>
  <c r="AU434"/>
  <c r="AV434"/>
  <c r="BA434"/>
  <c r="BB434"/>
  <c r="BC434"/>
  <c r="BE434"/>
  <c r="BF434"/>
  <c r="BG434"/>
  <c r="BI434"/>
  <c r="BO434"/>
  <c r="BP434"/>
  <c r="BV434"/>
  <c r="BW434"/>
  <c r="C435"/>
  <c r="D435"/>
  <c r="E435"/>
  <c r="F435"/>
  <c r="G435"/>
  <c r="H435"/>
  <c r="J435"/>
  <c r="K435"/>
  <c r="O435"/>
  <c r="I435"/>
  <c r="L435"/>
  <c r="Q435"/>
  <c r="R435"/>
  <c r="T435"/>
  <c r="U435"/>
  <c r="W435"/>
  <c r="X435"/>
  <c r="Z435"/>
  <c r="AA435"/>
  <c r="AC435"/>
  <c r="AD435"/>
  <c r="AG435"/>
  <c r="AH435"/>
  <c r="AI435"/>
  <c r="AJ435"/>
  <c r="AL435"/>
  <c r="AM435"/>
  <c r="AO435"/>
  <c r="AP435"/>
  <c r="AR435"/>
  <c r="AS435"/>
  <c r="AT435"/>
  <c r="AU435"/>
  <c r="AV435"/>
  <c r="BA435"/>
  <c r="BB435"/>
  <c r="BC435"/>
  <c r="BE435"/>
  <c r="BF435"/>
  <c r="BG435"/>
  <c r="BI435"/>
  <c r="BO435"/>
  <c r="BP435"/>
  <c r="BV435"/>
  <c r="BW435"/>
  <c r="AA436"/>
  <c r="AI436"/>
  <c r="AJ436"/>
  <c r="BA436"/>
  <c r="AI437"/>
  <c r="AJ437"/>
  <c r="C438"/>
  <c r="S441"/>
  <c r="AE441"/>
  <c r="AN441"/>
  <c r="DV441"/>
  <c r="S442"/>
  <c r="AE442"/>
  <c r="DV442"/>
  <c r="S443"/>
  <c r="AE443"/>
  <c r="DV443"/>
  <c r="S444"/>
  <c r="AE444"/>
  <c r="DV444"/>
  <c r="S445"/>
  <c r="AE445"/>
  <c r="DV445"/>
  <c r="S446"/>
  <c r="AE446"/>
  <c r="DV446"/>
  <c r="S447"/>
  <c r="AE447"/>
  <c r="AN447"/>
  <c r="DV447"/>
  <c r="S448"/>
  <c r="AE448"/>
  <c r="DV448"/>
  <c r="S449"/>
  <c r="AE449"/>
  <c r="DV449"/>
  <c r="S450"/>
  <c r="AE450"/>
  <c r="DV450"/>
  <c r="S451"/>
  <c r="AE451"/>
  <c r="AN451"/>
  <c r="DV451"/>
  <c r="S452"/>
  <c r="AE452"/>
  <c r="DV452"/>
  <c r="S453"/>
  <c r="AE453"/>
  <c r="AN453"/>
  <c r="BM453"/>
  <c r="BM465" s="1"/>
  <c r="DV453"/>
  <c r="S454"/>
  <c r="AE454"/>
  <c r="DV454"/>
  <c r="S455"/>
  <c r="AE455"/>
  <c r="DV455"/>
  <c r="S456"/>
  <c r="AE456"/>
  <c r="DV456"/>
  <c r="S457"/>
  <c r="AE457"/>
  <c r="DV457"/>
  <c r="S458"/>
  <c r="AE458"/>
  <c r="DV458"/>
  <c r="S459"/>
  <c r="AE459"/>
  <c r="AN459"/>
  <c r="DV459"/>
  <c r="S460"/>
  <c r="AE460"/>
  <c r="AN460"/>
  <c r="DV460"/>
  <c r="S461"/>
  <c r="AE461"/>
  <c r="DV461"/>
  <c r="S462"/>
  <c r="AE462"/>
  <c r="DV462"/>
  <c r="S463"/>
  <c r="AE463"/>
  <c r="DV463"/>
  <c r="S464"/>
  <c r="AE464"/>
  <c r="DV464"/>
  <c r="C465"/>
  <c r="D465"/>
  <c r="E465"/>
  <c r="F465"/>
  <c r="G465"/>
  <c r="H465"/>
  <c r="J465"/>
  <c r="K465"/>
  <c r="O465"/>
  <c r="I465"/>
  <c r="Q465"/>
  <c r="R465"/>
  <c r="T465"/>
  <c r="U465"/>
  <c r="W465"/>
  <c r="X465"/>
  <c r="Z465"/>
  <c r="AA465"/>
  <c r="AC465"/>
  <c r="AD465"/>
  <c r="AG465"/>
  <c r="AH465"/>
  <c r="AI465"/>
  <c r="AJ465"/>
  <c r="AL465"/>
  <c r="AM465"/>
  <c r="AR465"/>
  <c r="AS465"/>
  <c r="AT465"/>
  <c r="AU465"/>
  <c r="AV465"/>
  <c r="BA465"/>
  <c r="BB465"/>
  <c r="BC465"/>
  <c r="BE465"/>
  <c r="BF465"/>
  <c r="BG465"/>
  <c r="BI465"/>
  <c r="BO465"/>
  <c r="BP465"/>
  <c r="BV465"/>
  <c r="C466"/>
  <c r="D466"/>
  <c r="E466"/>
  <c r="F466"/>
  <c r="G466"/>
  <c r="H466"/>
  <c r="J466"/>
  <c r="K466"/>
  <c r="O466"/>
  <c r="I466"/>
  <c r="Q466"/>
  <c r="R466"/>
  <c r="T466"/>
  <c r="U466"/>
  <c r="W466"/>
  <c r="X466"/>
  <c r="Z466"/>
  <c r="AA466"/>
  <c r="AC466"/>
  <c r="AD466"/>
  <c r="AG466"/>
  <c r="AH466"/>
  <c r="AI466"/>
  <c r="AJ466"/>
  <c r="AL466"/>
  <c r="AM466"/>
  <c r="AR466"/>
  <c r="AS466"/>
  <c r="AT466"/>
  <c r="AU466"/>
  <c r="AV466"/>
  <c r="BA466"/>
  <c r="BB466"/>
  <c r="BC466"/>
  <c r="BE466"/>
  <c r="BF466"/>
  <c r="BG466"/>
  <c r="BI466"/>
  <c r="BO466"/>
  <c r="BP466"/>
  <c r="BV466"/>
  <c r="AA467"/>
  <c r="AI467"/>
  <c r="AJ467"/>
  <c r="BA467"/>
  <c r="AI468"/>
  <c r="AJ468"/>
  <c r="C469"/>
  <c r="S472"/>
  <c r="AE472"/>
  <c r="AN472"/>
  <c r="DV472"/>
  <c r="S473"/>
  <c r="AE473"/>
  <c r="DV473"/>
  <c r="S474"/>
  <c r="AE474"/>
  <c r="DV474"/>
  <c r="S475"/>
  <c r="AE475"/>
  <c r="DV475"/>
  <c r="S476"/>
  <c r="AE476"/>
  <c r="DV476"/>
  <c r="S477"/>
  <c r="AE477"/>
  <c r="DV477"/>
  <c r="S478"/>
  <c r="AE478"/>
  <c r="AN478"/>
  <c r="DV478"/>
  <c r="S479"/>
  <c r="AE479"/>
  <c r="DV479"/>
  <c r="S480"/>
  <c r="AE480"/>
  <c r="DV480"/>
  <c r="S481"/>
  <c r="AE481"/>
  <c r="DV481"/>
  <c r="S482"/>
  <c r="AE482"/>
  <c r="DV482"/>
  <c r="S483"/>
  <c r="AE483"/>
  <c r="DV483"/>
  <c r="S484"/>
  <c r="AE484"/>
  <c r="AN484"/>
  <c r="DV484"/>
  <c r="S485"/>
  <c r="AE485"/>
  <c r="DV485"/>
  <c r="S486"/>
  <c r="AE486"/>
  <c r="DV486"/>
  <c r="S487"/>
  <c r="AE487"/>
  <c r="DV487"/>
  <c r="S488"/>
  <c r="AE488"/>
  <c r="DV488"/>
  <c r="S489"/>
  <c r="AE489"/>
  <c r="DV489"/>
  <c r="S490"/>
  <c r="AE490"/>
  <c r="AN490"/>
  <c r="DV490"/>
  <c r="S491"/>
  <c r="AE491"/>
  <c r="DV491"/>
  <c r="S492"/>
  <c r="AE492"/>
  <c r="DV492"/>
  <c r="S493"/>
  <c r="AE493"/>
  <c r="DV493"/>
  <c r="S494"/>
  <c r="AE494"/>
  <c r="DV494"/>
  <c r="S495"/>
  <c r="AE495"/>
  <c r="DV495"/>
  <c r="C496"/>
  <c r="D496"/>
  <c r="E496"/>
  <c r="F496"/>
  <c r="G496"/>
  <c r="H496"/>
  <c r="J496"/>
  <c r="K496"/>
  <c r="O496"/>
  <c r="I496"/>
  <c r="L496"/>
  <c r="Q496"/>
  <c r="R496"/>
  <c r="T496"/>
  <c r="U496"/>
  <c r="W496"/>
  <c r="X496"/>
  <c r="Z496"/>
  <c r="AA496"/>
  <c r="AC496"/>
  <c r="AD496"/>
  <c r="AG496"/>
  <c r="AH496"/>
  <c r="AI496"/>
  <c r="AJ496"/>
  <c r="AL496"/>
  <c r="AM496"/>
  <c r="AR496"/>
  <c r="AS496"/>
  <c r="AT496"/>
  <c r="AU496"/>
  <c r="AV496"/>
  <c r="BA496"/>
  <c r="BB496"/>
  <c r="BC496"/>
  <c r="BE496"/>
  <c r="BF496"/>
  <c r="BG496"/>
  <c r="BI496"/>
  <c r="BM496"/>
  <c r="BO496"/>
  <c r="BP496"/>
  <c r="BV496"/>
  <c r="BW496"/>
  <c r="C497"/>
  <c r="D497"/>
  <c r="E497"/>
  <c r="F497"/>
  <c r="G497"/>
  <c r="H497"/>
  <c r="J497"/>
  <c r="K497"/>
  <c r="O497"/>
  <c r="I497"/>
  <c r="L497"/>
  <c r="Q497"/>
  <c r="R497"/>
  <c r="T497"/>
  <c r="U497"/>
  <c r="W497"/>
  <c r="X497"/>
  <c r="Z497"/>
  <c r="AA497"/>
  <c r="AC497"/>
  <c r="AD497"/>
  <c r="AG497"/>
  <c r="AH497"/>
  <c r="AI497"/>
  <c r="AJ497"/>
  <c r="AL497"/>
  <c r="AM497"/>
  <c r="AR497"/>
  <c r="AS497"/>
  <c r="AT497"/>
  <c r="AU497"/>
  <c r="AV497"/>
  <c r="BA497"/>
  <c r="BB497"/>
  <c r="BC497"/>
  <c r="BE497"/>
  <c r="BF497"/>
  <c r="BG497"/>
  <c r="BI497"/>
  <c r="BM497"/>
  <c r="BO497"/>
  <c r="BP497"/>
  <c r="BV497"/>
  <c r="BW497"/>
  <c r="AA498"/>
  <c r="AI498"/>
  <c r="AJ498"/>
  <c r="BA498"/>
  <c r="AI499"/>
  <c r="AJ499"/>
  <c r="C500"/>
  <c r="S503"/>
  <c r="DY503" s="1"/>
  <c r="AE503"/>
  <c r="DV503"/>
  <c r="S504"/>
  <c r="DY504" s="1"/>
  <c r="AE504"/>
  <c r="DV504"/>
  <c r="S505"/>
  <c r="DY505" s="1"/>
  <c r="AE505"/>
  <c r="DV505"/>
  <c r="S506"/>
  <c r="DY506" s="1"/>
  <c r="AE506"/>
  <c r="DV506"/>
  <c r="S507"/>
  <c r="DY507" s="1"/>
  <c r="AE507"/>
  <c r="AN507"/>
  <c r="DV507"/>
  <c r="S508"/>
  <c r="DY508" s="1"/>
  <c r="AE508"/>
  <c r="DV508"/>
  <c r="S509"/>
  <c r="DY509" s="1"/>
  <c r="AE509"/>
  <c r="AN509"/>
  <c r="DV509"/>
  <c r="S510"/>
  <c r="DY510" s="1"/>
  <c r="AE510"/>
  <c r="DV510"/>
  <c r="S511"/>
  <c r="DY511" s="1"/>
  <c r="AE511"/>
  <c r="DV511"/>
  <c r="S512"/>
  <c r="DY512" s="1"/>
  <c r="AE512"/>
  <c r="DV512"/>
  <c r="S513"/>
  <c r="DY513" s="1"/>
  <c r="AE513"/>
  <c r="DV513"/>
  <c r="S514"/>
  <c r="DY514" s="1"/>
  <c r="AE514"/>
  <c r="DV514"/>
  <c r="S515"/>
  <c r="DY515" s="1"/>
  <c r="AE515"/>
  <c r="DV515"/>
  <c r="S516"/>
  <c r="DY516" s="1"/>
  <c r="AE516"/>
  <c r="DV516"/>
  <c r="S517"/>
  <c r="DY517" s="1"/>
  <c r="AE517"/>
  <c r="DV517"/>
  <c r="S518"/>
  <c r="DY518" s="1"/>
  <c r="AE518"/>
  <c r="DV518"/>
  <c r="S519"/>
  <c r="DY519" s="1"/>
  <c r="AE519"/>
  <c r="DV519"/>
  <c r="S520"/>
  <c r="DY520" s="1"/>
  <c r="AE520"/>
  <c r="DV520"/>
  <c r="S521"/>
  <c r="DY521" s="1"/>
  <c r="AE521"/>
  <c r="DV521"/>
  <c r="S522"/>
  <c r="DY522" s="1"/>
  <c r="AE522"/>
  <c r="DV522"/>
  <c r="S523"/>
  <c r="DY523" s="1"/>
  <c r="AE523"/>
  <c r="DV523"/>
  <c r="S524"/>
  <c r="DY524" s="1"/>
  <c r="AE524"/>
  <c r="DV524"/>
  <c r="S525"/>
  <c r="DY525" s="1"/>
  <c r="AE525"/>
  <c r="DV525"/>
  <c r="S526"/>
  <c r="DY526" s="1"/>
  <c r="AE526"/>
  <c r="DV526"/>
  <c r="C527"/>
  <c r="D527"/>
  <c r="E527"/>
  <c r="F527"/>
  <c r="G527"/>
  <c r="H527"/>
  <c r="J527"/>
  <c r="K527"/>
  <c r="I527"/>
  <c r="L527"/>
  <c r="P527"/>
  <c r="Q527"/>
  <c r="R527"/>
  <c r="T527"/>
  <c r="U527"/>
  <c r="W527"/>
  <c r="X527"/>
  <c r="Z527"/>
  <c r="AA527"/>
  <c r="AC527"/>
  <c r="AD527"/>
  <c r="AG527"/>
  <c r="AH527"/>
  <c r="AI527"/>
  <c r="AJ527"/>
  <c r="AL527"/>
  <c r="AM527"/>
  <c r="AR527"/>
  <c r="AS527"/>
  <c r="AT527"/>
  <c r="AU527"/>
  <c r="AV527"/>
  <c r="BA527"/>
  <c r="BB527"/>
  <c r="BC527"/>
  <c r="BE527"/>
  <c r="BF527"/>
  <c r="BG527"/>
  <c r="BI527"/>
  <c r="BM527"/>
  <c r="BO527"/>
  <c r="BP527"/>
  <c r="BV527"/>
  <c r="BW527"/>
  <c r="C528"/>
  <c r="D528"/>
  <c r="E528"/>
  <c r="F528"/>
  <c r="G528"/>
  <c r="H528"/>
  <c r="J528"/>
  <c r="K528"/>
  <c r="I528"/>
  <c r="L528"/>
  <c r="P528"/>
  <c r="Q528"/>
  <c r="R528"/>
  <c r="T528"/>
  <c r="U528"/>
  <c r="W528"/>
  <c r="X528"/>
  <c r="Z528"/>
  <c r="AA528"/>
  <c r="AC528"/>
  <c r="AD528"/>
  <c r="AG528"/>
  <c r="AH528"/>
  <c r="AI528"/>
  <c r="AJ528"/>
  <c r="AL528"/>
  <c r="AM528"/>
  <c r="AR528"/>
  <c r="AS528"/>
  <c r="AT528"/>
  <c r="AU528"/>
  <c r="AV528"/>
  <c r="BA528"/>
  <c r="BB528"/>
  <c r="BC528"/>
  <c r="BE528"/>
  <c r="BF528"/>
  <c r="BG528"/>
  <c r="BI528"/>
  <c r="BM528"/>
  <c r="BO528"/>
  <c r="BP528"/>
  <c r="BV528"/>
  <c r="BW528"/>
  <c r="AA529"/>
  <c r="AI529"/>
  <c r="AJ529"/>
  <c r="BA529"/>
  <c r="AI530"/>
  <c r="AJ530"/>
  <c r="C531"/>
  <c r="S534"/>
  <c r="DY534" s="1"/>
  <c r="AE534"/>
  <c r="AN534"/>
  <c r="DV534"/>
  <c r="S535"/>
  <c r="DY535" s="1"/>
  <c r="AE535"/>
  <c r="DV535"/>
  <c r="S536"/>
  <c r="DY536" s="1"/>
  <c r="AE536"/>
  <c r="DV536"/>
  <c r="S537"/>
  <c r="DY537" s="1"/>
  <c r="AE537"/>
  <c r="DV537"/>
  <c r="S538"/>
  <c r="DY538" s="1"/>
  <c r="AE538"/>
  <c r="DV538"/>
  <c r="S539"/>
  <c r="DY539" s="1"/>
  <c r="AE539"/>
  <c r="DV539"/>
  <c r="S540"/>
  <c r="DY540" s="1"/>
  <c r="AE540"/>
  <c r="AN540"/>
  <c r="DV540"/>
  <c r="S541"/>
  <c r="DY541" s="1"/>
  <c r="AE541"/>
  <c r="DV541"/>
  <c r="S542"/>
  <c r="DY542" s="1"/>
  <c r="AE542"/>
  <c r="DV542"/>
  <c r="S543"/>
  <c r="DY543" s="1"/>
  <c r="AE543"/>
  <c r="DV543"/>
  <c r="S544"/>
  <c r="DY544" s="1"/>
  <c r="AE544"/>
  <c r="DV544"/>
  <c r="S545"/>
  <c r="DY545" s="1"/>
  <c r="AE545"/>
  <c r="DV545"/>
  <c r="S546"/>
  <c r="DY546" s="1"/>
  <c r="AE546"/>
  <c r="AN546"/>
  <c r="DV546"/>
  <c r="S547"/>
  <c r="DY547" s="1"/>
  <c r="AE547"/>
  <c r="DV547"/>
  <c r="S548"/>
  <c r="DY548" s="1"/>
  <c r="AE548"/>
  <c r="DV548"/>
  <c r="S549"/>
  <c r="DY549" s="1"/>
  <c r="AE549"/>
  <c r="DV549"/>
  <c r="S550"/>
  <c r="DY550" s="1"/>
  <c r="AE550"/>
  <c r="DV550"/>
  <c r="S551"/>
  <c r="DY551" s="1"/>
  <c r="AE551"/>
  <c r="DV551"/>
  <c r="S552"/>
  <c r="DY552" s="1"/>
  <c r="AE552"/>
  <c r="AN552"/>
  <c r="DV552"/>
  <c r="S553"/>
  <c r="DY553" s="1"/>
  <c r="AE553"/>
  <c r="DV553"/>
  <c r="S554"/>
  <c r="DY554" s="1"/>
  <c r="AE554"/>
  <c r="DV554"/>
  <c r="S555"/>
  <c r="DY555" s="1"/>
  <c r="AE555"/>
  <c r="DV555"/>
  <c r="S556"/>
  <c r="DY556" s="1"/>
  <c r="AE556"/>
  <c r="DV556"/>
  <c r="S557"/>
  <c r="DY557" s="1"/>
  <c r="AE557"/>
  <c r="DV557"/>
  <c r="C558"/>
  <c r="D558"/>
  <c r="E558"/>
  <c r="F558"/>
  <c r="G558"/>
  <c r="H558"/>
  <c r="J558"/>
  <c r="K558"/>
  <c r="I558"/>
  <c r="L558"/>
  <c r="P558"/>
  <c r="Q558"/>
  <c r="R558"/>
  <c r="T558"/>
  <c r="U558"/>
  <c r="W558"/>
  <c r="X558"/>
  <c r="Z558"/>
  <c r="AA558"/>
  <c r="AC558"/>
  <c r="AD558"/>
  <c r="AG558"/>
  <c r="AH558"/>
  <c r="AI558"/>
  <c r="AJ558"/>
  <c r="AL558"/>
  <c r="AM558"/>
  <c r="AR558"/>
  <c r="AS558"/>
  <c r="AT558"/>
  <c r="AU558"/>
  <c r="AV558"/>
  <c r="BA558"/>
  <c r="BB558"/>
  <c r="BC558"/>
  <c r="BE558"/>
  <c r="BF558"/>
  <c r="BG558"/>
  <c r="BI558"/>
  <c r="BM558"/>
  <c r="BO558"/>
  <c r="BP558"/>
  <c r="BV558"/>
  <c r="BW558"/>
  <c r="C559"/>
  <c r="D559"/>
  <c r="E559"/>
  <c r="F559"/>
  <c r="G559"/>
  <c r="H559"/>
  <c r="J559"/>
  <c r="K559"/>
  <c r="I559"/>
  <c r="L559"/>
  <c r="P559"/>
  <c r="Q559"/>
  <c r="R559"/>
  <c r="T559"/>
  <c r="U559"/>
  <c r="W559"/>
  <c r="X559"/>
  <c r="Z559"/>
  <c r="AA559"/>
  <c r="AC559"/>
  <c r="AD559"/>
  <c r="AG559"/>
  <c r="AH559"/>
  <c r="AI559"/>
  <c r="AJ559"/>
  <c r="AL559"/>
  <c r="AM559"/>
  <c r="AR559"/>
  <c r="AS559"/>
  <c r="AT559"/>
  <c r="AU559"/>
  <c r="AV559"/>
  <c r="BA559"/>
  <c r="BB559"/>
  <c r="BC559"/>
  <c r="BE559"/>
  <c r="BF559"/>
  <c r="BG559"/>
  <c r="BI559"/>
  <c r="BM559"/>
  <c r="BO559"/>
  <c r="BP559"/>
  <c r="BV559"/>
  <c r="BW559"/>
  <c r="AA560"/>
  <c r="AI560"/>
  <c r="AJ560"/>
  <c r="BA560"/>
  <c r="AI561"/>
  <c r="AJ561"/>
  <c r="C562"/>
  <c r="S564"/>
  <c r="AE564"/>
  <c r="AN564"/>
  <c r="S565"/>
  <c r="DY565" s="1"/>
  <c r="AE565"/>
  <c r="DV565"/>
  <c r="S566"/>
  <c r="DY566" s="1"/>
  <c r="AE566"/>
  <c r="S567"/>
  <c r="DY567" s="1"/>
  <c r="AE567"/>
  <c r="S568"/>
  <c r="DY568" s="1"/>
  <c r="AE568"/>
  <c r="S569"/>
  <c r="DY569" s="1"/>
  <c r="AE569"/>
  <c r="S570"/>
  <c r="DY570" s="1"/>
  <c r="AE570"/>
  <c r="AN570"/>
  <c r="S571"/>
  <c r="DY571" s="1"/>
  <c r="AE571"/>
  <c r="S572"/>
  <c r="DY572" s="1"/>
  <c r="AE572"/>
  <c r="S573"/>
  <c r="DY573" s="1"/>
  <c r="AE573"/>
  <c r="S574"/>
  <c r="DY574" s="1"/>
  <c r="AE574"/>
  <c r="S575"/>
  <c r="DY575" s="1"/>
  <c r="AE575"/>
  <c r="S576"/>
  <c r="DY576" s="1"/>
  <c r="AE576"/>
  <c r="AN576"/>
  <c r="S577"/>
  <c r="DY577" s="1"/>
  <c r="AE577"/>
  <c r="S578"/>
  <c r="DY578" s="1"/>
  <c r="AE578"/>
  <c r="S579"/>
  <c r="DY579" s="1"/>
  <c r="AE579"/>
  <c r="S580"/>
  <c r="DY580" s="1"/>
  <c r="AE580"/>
  <c r="S581"/>
  <c r="DY581" s="1"/>
  <c r="AE581"/>
  <c r="S582"/>
  <c r="DY582" s="1"/>
  <c r="AE582"/>
  <c r="AN582"/>
  <c r="S583"/>
  <c r="DY583" s="1"/>
  <c r="AE583"/>
  <c r="S584"/>
  <c r="DY584" s="1"/>
  <c r="AE584"/>
  <c r="S585"/>
  <c r="DY585" s="1"/>
  <c r="AE585"/>
  <c r="S586"/>
  <c r="DY586" s="1"/>
  <c r="AE586"/>
  <c r="S587"/>
  <c r="DY587" s="1"/>
  <c r="AE587"/>
  <c r="C588"/>
  <c r="D588"/>
  <c r="E588"/>
  <c r="F588"/>
  <c r="G588"/>
  <c r="H588"/>
  <c r="J588"/>
  <c r="K588"/>
  <c r="O588"/>
  <c r="Q588"/>
  <c r="R588"/>
  <c r="T588"/>
  <c r="U588"/>
  <c r="W588"/>
  <c r="X588"/>
  <c r="Z588"/>
  <c r="AA588"/>
  <c r="AC588"/>
  <c r="AD588"/>
  <c r="AG588"/>
  <c r="AH588"/>
  <c r="AI588"/>
  <c r="AJ588"/>
  <c r="AL588"/>
  <c r="AM588"/>
  <c r="AR588"/>
  <c r="AS588"/>
  <c r="AT588"/>
  <c r="AU588"/>
  <c r="AV588"/>
  <c r="BA588"/>
  <c r="BB588"/>
  <c r="BC588"/>
  <c r="BE588"/>
  <c r="BF588"/>
  <c r="BG588"/>
  <c r="BI588"/>
  <c r="BM588"/>
  <c r="BO588"/>
  <c r="BP588"/>
  <c r="BV588"/>
  <c r="BW588"/>
  <c r="C589"/>
  <c r="D589"/>
  <c r="E589"/>
  <c r="F589"/>
  <c r="G589"/>
  <c r="H589"/>
  <c r="J589"/>
  <c r="K589"/>
  <c r="O589"/>
  <c r="Q589"/>
  <c r="R589"/>
  <c r="T589"/>
  <c r="U589"/>
  <c r="W589"/>
  <c r="X589"/>
  <c r="Z589"/>
  <c r="AA589"/>
  <c r="AC589"/>
  <c r="AD589"/>
  <c r="AG589"/>
  <c r="AH589"/>
  <c r="AI589"/>
  <c r="AJ589"/>
  <c r="AL589"/>
  <c r="AM589"/>
  <c r="AR589"/>
  <c r="AS589"/>
  <c r="AT589"/>
  <c r="AU589"/>
  <c r="AV589"/>
  <c r="BA589"/>
  <c r="BB589"/>
  <c r="BC589"/>
  <c r="BE589"/>
  <c r="BF589"/>
  <c r="BG589"/>
  <c r="BI589"/>
  <c r="BM589"/>
  <c r="BO589"/>
  <c r="BP589"/>
  <c r="BV589"/>
  <c r="BW589"/>
  <c r="AA590"/>
  <c r="AI590"/>
  <c r="AJ590"/>
  <c r="BA590"/>
  <c r="AI591"/>
  <c r="AJ591"/>
  <c r="C592"/>
  <c r="S595"/>
  <c r="DY595" s="1"/>
  <c r="AE595"/>
  <c r="AN595"/>
  <c r="DV595"/>
  <c r="S596"/>
  <c r="DY596" s="1"/>
  <c r="AE596"/>
  <c r="DV596"/>
  <c r="S597"/>
  <c r="DY597" s="1"/>
  <c r="AE597"/>
  <c r="DV597"/>
  <c r="S598"/>
  <c r="DY598" s="1"/>
  <c r="AE598"/>
  <c r="DV598"/>
  <c r="S599"/>
  <c r="DY599" s="1"/>
  <c r="AE599"/>
  <c r="DV599"/>
  <c r="S600"/>
  <c r="DY600" s="1"/>
  <c r="AE600"/>
  <c r="DV600"/>
  <c r="S601"/>
  <c r="DY601" s="1"/>
  <c r="AE601"/>
  <c r="AN601"/>
  <c r="DV601"/>
  <c r="S602"/>
  <c r="DY602" s="1"/>
  <c r="AE602"/>
  <c r="DV602"/>
  <c r="S603"/>
  <c r="DY603" s="1"/>
  <c r="AE603"/>
  <c r="DV603"/>
  <c r="S604"/>
  <c r="DY604" s="1"/>
  <c r="AE604"/>
  <c r="DV604"/>
  <c r="S605"/>
  <c r="DY605" s="1"/>
  <c r="AE605"/>
  <c r="DV605"/>
  <c r="S606"/>
  <c r="DY606" s="1"/>
  <c r="AE606"/>
  <c r="DV606"/>
  <c r="S607"/>
  <c r="DY607" s="1"/>
  <c r="AE607"/>
  <c r="AN607"/>
  <c r="DV607"/>
  <c r="S608"/>
  <c r="DY608" s="1"/>
  <c r="AE608"/>
  <c r="DV608"/>
  <c r="S609"/>
  <c r="DY609" s="1"/>
  <c r="AE609"/>
  <c r="DV609"/>
  <c r="S610"/>
  <c r="DY610" s="1"/>
  <c r="AE610"/>
  <c r="DV610"/>
  <c r="S611"/>
  <c r="DY611" s="1"/>
  <c r="AE611"/>
  <c r="DV611"/>
  <c r="S612"/>
  <c r="DY612" s="1"/>
  <c r="AE612"/>
  <c r="DV612"/>
  <c r="S613"/>
  <c r="DY613" s="1"/>
  <c r="AE613"/>
  <c r="AN613"/>
  <c r="DV613"/>
  <c r="S614"/>
  <c r="DY614" s="1"/>
  <c r="AE614"/>
  <c r="DV614"/>
  <c r="S615"/>
  <c r="DY615" s="1"/>
  <c r="AE615"/>
  <c r="DV615"/>
  <c r="S616"/>
  <c r="DY616" s="1"/>
  <c r="AE616"/>
  <c r="DV616"/>
  <c r="S617"/>
  <c r="DY617" s="1"/>
  <c r="AE617"/>
  <c r="DV617"/>
  <c r="S618"/>
  <c r="DY618" s="1"/>
  <c r="AE618"/>
  <c r="DV618"/>
  <c r="C619"/>
  <c r="D619"/>
  <c r="E619"/>
  <c r="F619"/>
  <c r="G619"/>
  <c r="H619"/>
  <c r="J619"/>
  <c r="K619"/>
  <c r="O619"/>
  <c r="I619"/>
  <c r="L619"/>
  <c r="Q619"/>
  <c r="R619"/>
  <c r="T619"/>
  <c r="U619"/>
  <c r="W619"/>
  <c r="X619"/>
  <c r="Z619"/>
  <c r="AA619"/>
  <c r="AC619"/>
  <c r="AD619"/>
  <c r="AG619"/>
  <c r="AH619"/>
  <c r="AI619"/>
  <c r="AJ619"/>
  <c r="AL619"/>
  <c r="AM619"/>
  <c r="AR619"/>
  <c r="AS619"/>
  <c r="AT619"/>
  <c r="AU619"/>
  <c r="AV619"/>
  <c r="BA619"/>
  <c r="BB619"/>
  <c r="BC619"/>
  <c r="BE619"/>
  <c r="BF619"/>
  <c r="BG619"/>
  <c r="BI619"/>
  <c r="BM619"/>
  <c r="BO619"/>
  <c r="BP619"/>
  <c r="BV619"/>
  <c r="BW619"/>
  <c r="C620"/>
  <c r="D620"/>
  <c r="E620"/>
  <c r="F620"/>
  <c r="G620"/>
  <c r="H620"/>
  <c r="J620"/>
  <c r="K620"/>
  <c r="O620"/>
  <c r="I620"/>
  <c r="L620"/>
  <c r="Q620"/>
  <c r="R620"/>
  <c r="T620"/>
  <c r="U620"/>
  <c r="W620"/>
  <c r="X620"/>
  <c r="Z620"/>
  <c r="AA620"/>
  <c r="AC620"/>
  <c r="AD620"/>
  <c r="AG620"/>
  <c r="AH620"/>
  <c r="AI620"/>
  <c r="AJ620"/>
  <c r="AL620"/>
  <c r="AM620"/>
  <c r="AR620"/>
  <c r="AS620"/>
  <c r="AT620"/>
  <c r="AU620"/>
  <c r="AV620"/>
  <c r="BA620"/>
  <c r="BB620"/>
  <c r="BC620"/>
  <c r="BE620"/>
  <c r="BF620"/>
  <c r="BG620"/>
  <c r="BI620"/>
  <c r="BM620"/>
  <c r="BO620"/>
  <c r="BP620"/>
  <c r="BV620"/>
  <c r="BW620"/>
  <c r="AA621"/>
  <c r="AI621"/>
  <c r="AJ621"/>
  <c r="BA621"/>
  <c r="AI622"/>
  <c r="AJ622"/>
  <c r="C623"/>
  <c r="S626"/>
  <c r="AE626"/>
  <c r="AN626"/>
  <c r="DV626"/>
  <c r="S627"/>
  <c r="DY627" s="1"/>
  <c r="AE627"/>
  <c r="DV627"/>
  <c r="S628"/>
  <c r="DY628" s="1"/>
  <c r="AE628"/>
  <c r="DV628"/>
  <c r="S629"/>
  <c r="DY629" s="1"/>
  <c r="AE629"/>
  <c r="DV629"/>
  <c r="S630"/>
  <c r="DY630" s="1"/>
  <c r="AE630"/>
  <c r="DV630"/>
  <c r="S631"/>
  <c r="DY631" s="1"/>
  <c r="AE631"/>
  <c r="DV631"/>
  <c r="S632"/>
  <c r="DY632" s="1"/>
  <c r="AE632"/>
  <c r="AN632"/>
  <c r="DV632"/>
  <c r="S633"/>
  <c r="DY633" s="1"/>
  <c r="AE633"/>
  <c r="DV633"/>
  <c r="S634"/>
  <c r="DY634" s="1"/>
  <c r="AE634"/>
  <c r="DV634"/>
  <c r="S635"/>
  <c r="DY635" s="1"/>
  <c r="AE635"/>
  <c r="DV635"/>
  <c r="S636"/>
  <c r="DY636" s="1"/>
  <c r="AE636"/>
  <c r="DV636"/>
  <c r="S637"/>
  <c r="DY637" s="1"/>
  <c r="AE637"/>
  <c r="DV637"/>
  <c r="S638"/>
  <c r="DY638" s="1"/>
  <c r="AE638"/>
  <c r="AN638"/>
  <c r="DV638"/>
  <c r="S639"/>
  <c r="DY639" s="1"/>
  <c r="AE639"/>
  <c r="DV639"/>
  <c r="S640"/>
  <c r="DY640" s="1"/>
  <c r="AE640"/>
  <c r="DV640"/>
  <c r="S641"/>
  <c r="DY641" s="1"/>
  <c r="AE641"/>
  <c r="DV641"/>
  <c r="S642"/>
  <c r="DY642" s="1"/>
  <c r="AE642"/>
  <c r="DV642"/>
  <c r="S643"/>
  <c r="DY643" s="1"/>
  <c r="AE643"/>
  <c r="DV643"/>
  <c r="S644"/>
  <c r="DY644" s="1"/>
  <c r="AE644"/>
  <c r="AN644"/>
  <c r="DV644"/>
  <c r="S645"/>
  <c r="DY645" s="1"/>
  <c r="AE645"/>
  <c r="DV645"/>
  <c r="S646"/>
  <c r="DY646" s="1"/>
  <c r="AE646"/>
  <c r="DV646"/>
  <c r="S647"/>
  <c r="DY647" s="1"/>
  <c r="AE647"/>
  <c r="DV647"/>
  <c r="S648"/>
  <c r="DY648" s="1"/>
  <c r="AE648"/>
  <c r="DV648"/>
  <c r="S649"/>
  <c r="DY649" s="1"/>
  <c r="AE649"/>
  <c r="DV649"/>
  <c r="C650"/>
  <c r="D650"/>
  <c r="E650"/>
  <c r="F650"/>
  <c r="G650"/>
  <c r="H650"/>
  <c r="J650"/>
  <c r="K650"/>
  <c r="O650"/>
  <c r="I650"/>
  <c r="Q650"/>
  <c r="R650"/>
  <c r="T650"/>
  <c r="U650"/>
  <c r="W650"/>
  <c r="X650"/>
  <c r="Z650"/>
  <c r="AA650"/>
  <c r="AC650"/>
  <c r="AD650"/>
  <c r="AG650"/>
  <c r="AH650"/>
  <c r="AI650"/>
  <c r="AJ650"/>
  <c r="AL650"/>
  <c r="AM650"/>
  <c r="AR650"/>
  <c r="AS650"/>
  <c r="AT650"/>
  <c r="AU650"/>
  <c r="AV650"/>
  <c r="BA650"/>
  <c r="BB650"/>
  <c r="BC650"/>
  <c r="BE650"/>
  <c r="BF650"/>
  <c r="BG650"/>
  <c r="BI650"/>
  <c r="BM650"/>
  <c r="BO650"/>
  <c r="BP650"/>
  <c r="BV650"/>
  <c r="BW650"/>
  <c r="C651"/>
  <c r="D651"/>
  <c r="E651"/>
  <c r="F651"/>
  <c r="G651"/>
  <c r="H651"/>
  <c r="J651"/>
  <c r="K651"/>
  <c r="O651"/>
  <c r="I651"/>
  <c r="Q651"/>
  <c r="R651"/>
  <c r="T651"/>
  <c r="U651"/>
  <c r="W651"/>
  <c r="X651"/>
  <c r="Z651"/>
  <c r="AA651"/>
  <c r="AC651"/>
  <c r="AD651"/>
  <c r="AG651"/>
  <c r="AH651"/>
  <c r="AI651"/>
  <c r="AJ651"/>
  <c r="AL651"/>
  <c r="AM651"/>
  <c r="AR651"/>
  <c r="AS651"/>
  <c r="AT651"/>
  <c r="AU651"/>
  <c r="AV651"/>
  <c r="BA651"/>
  <c r="BB651"/>
  <c r="BC651"/>
  <c r="BE651"/>
  <c r="BF651"/>
  <c r="BG651"/>
  <c r="BI651"/>
  <c r="BM651"/>
  <c r="BO651"/>
  <c r="BP651"/>
  <c r="BV651"/>
  <c r="BW651"/>
  <c r="AA652"/>
  <c r="AI652"/>
  <c r="AJ652"/>
  <c r="BA652"/>
  <c r="AI653"/>
  <c r="AJ653"/>
  <c r="C654"/>
  <c r="S657"/>
  <c r="DY657" s="1"/>
  <c r="AE657"/>
  <c r="AN657"/>
  <c r="DV657"/>
  <c r="S658"/>
  <c r="DY658" s="1"/>
  <c r="AE658"/>
  <c r="DV658"/>
  <c r="S659"/>
  <c r="DY659" s="1"/>
  <c r="AE659"/>
  <c r="DV659"/>
  <c r="S660"/>
  <c r="DY660" s="1"/>
  <c r="AE660"/>
  <c r="DV660"/>
  <c r="S661"/>
  <c r="DY661" s="1"/>
  <c r="AE661"/>
  <c r="DV661"/>
  <c r="S662"/>
  <c r="DY662" s="1"/>
  <c r="AE662"/>
  <c r="DV662"/>
  <c r="S663"/>
  <c r="DY663" s="1"/>
  <c r="AE663"/>
  <c r="AN663"/>
  <c r="DV663"/>
  <c r="S664"/>
  <c r="DY664" s="1"/>
  <c r="AE664"/>
  <c r="DV664"/>
  <c r="S665"/>
  <c r="DY665" s="1"/>
  <c r="AE665"/>
  <c r="DV665"/>
  <c r="S666"/>
  <c r="DY666" s="1"/>
  <c r="AE666"/>
  <c r="DV666"/>
  <c r="S667"/>
  <c r="DY667" s="1"/>
  <c r="AE667"/>
  <c r="DV667"/>
  <c r="S668"/>
  <c r="DY668" s="1"/>
  <c r="AE668"/>
  <c r="DV668"/>
  <c r="S669"/>
  <c r="DY669" s="1"/>
  <c r="AE669"/>
  <c r="AN669"/>
  <c r="DV669"/>
  <c r="S670"/>
  <c r="DY670" s="1"/>
  <c r="AE670"/>
  <c r="DV670"/>
  <c r="S671"/>
  <c r="DY671" s="1"/>
  <c r="AE671"/>
  <c r="DV671"/>
  <c r="S672"/>
  <c r="DY672" s="1"/>
  <c r="AE672"/>
  <c r="DV672"/>
  <c r="S673"/>
  <c r="DY673" s="1"/>
  <c r="AE673"/>
  <c r="DV673"/>
  <c r="S674"/>
  <c r="DY674" s="1"/>
  <c r="AE674"/>
  <c r="DV674"/>
  <c r="S675"/>
  <c r="DY675" s="1"/>
  <c r="AE675"/>
  <c r="AN675"/>
  <c r="DV675"/>
  <c r="S676"/>
  <c r="DY676" s="1"/>
  <c r="AE676"/>
  <c r="DV676"/>
  <c r="S677"/>
  <c r="DY677" s="1"/>
  <c r="AE677"/>
  <c r="DV677"/>
  <c r="S678"/>
  <c r="DY678" s="1"/>
  <c r="AE678"/>
  <c r="DV678"/>
  <c r="S679"/>
  <c r="DY679" s="1"/>
  <c r="AE679"/>
  <c r="DV679"/>
  <c r="S680"/>
  <c r="DY680" s="1"/>
  <c r="AE680"/>
  <c r="DV680"/>
  <c r="C681"/>
  <c r="D681"/>
  <c r="E681"/>
  <c r="F681"/>
  <c r="G681"/>
  <c r="H681"/>
  <c r="J681"/>
  <c r="K681"/>
  <c r="O681"/>
  <c r="I681"/>
  <c r="Q681"/>
  <c r="R681"/>
  <c r="T681"/>
  <c r="U681"/>
  <c r="W681"/>
  <c r="X681"/>
  <c r="Z681"/>
  <c r="AA681"/>
  <c r="AC681"/>
  <c r="AD681"/>
  <c r="AG681"/>
  <c r="AH681"/>
  <c r="AI681"/>
  <c r="AJ681"/>
  <c r="AL681"/>
  <c r="AM681"/>
  <c r="AR681"/>
  <c r="AS681"/>
  <c r="AT681"/>
  <c r="AU681"/>
  <c r="AV681"/>
  <c r="BA681"/>
  <c r="BB681"/>
  <c r="BC681"/>
  <c r="BE681"/>
  <c r="BF681"/>
  <c r="BG681"/>
  <c r="BI681"/>
  <c r="BM681"/>
  <c r="BO681"/>
  <c r="BP681"/>
  <c r="BV681"/>
  <c r="BW681"/>
  <c r="C682"/>
  <c r="D682"/>
  <c r="E682"/>
  <c r="F682"/>
  <c r="G682"/>
  <c r="H682"/>
  <c r="J682"/>
  <c r="K682"/>
  <c r="O682"/>
  <c r="I682"/>
  <c r="Q682"/>
  <c r="R682"/>
  <c r="T682"/>
  <c r="U682"/>
  <c r="W682"/>
  <c r="X682"/>
  <c r="Z682"/>
  <c r="AA682"/>
  <c r="AC682"/>
  <c r="AD682"/>
  <c r="AG682"/>
  <c r="AH682"/>
  <c r="AI682"/>
  <c r="AJ682"/>
  <c r="AL682"/>
  <c r="AM682"/>
  <c r="AR682"/>
  <c r="AS682"/>
  <c r="AT682"/>
  <c r="AU682"/>
  <c r="AV682"/>
  <c r="BA682"/>
  <c r="BB682"/>
  <c r="BC682"/>
  <c r="BE682"/>
  <c r="BF682"/>
  <c r="BG682"/>
  <c r="BI682"/>
  <c r="BM682"/>
  <c r="BO682"/>
  <c r="BP682"/>
  <c r="BV682"/>
  <c r="BW682"/>
  <c r="AA683"/>
  <c r="AI683"/>
  <c r="AJ683"/>
  <c r="BA683"/>
  <c r="AI684"/>
  <c r="AJ684"/>
  <c r="C685"/>
  <c r="C5" i="3"/>
  <c r="C46" s="1"/>
  <c r="D5"/>
  <c r="D46" s="1"/>
  <c r="E5"/>
  <c r="E46" s="1"/>
  <c r="F5"/>
  <c r="F46" s="1"/>
  <c r="G5"/>
  <c r="G46" s="1"/>
  <c r="H5"/>
  <c r="H46" s="1"/>
  <c r="J5"/>
  <c r="J46" s="1"/>
  <c r="K5"/>
  <c r="K46" s="1"/>
  <c r="O5"/>
  <c r="O46" s="1"/>
  <c r="I5"/>
  <c r="I46" s="1"/>
  <c r="L5"/>
  <c r="L46" s="1"/>
  <c r="P5"/>
  <c r="P46" s="1"/>
  <c r="Q5"/>
  <c r="Q46" s="1"/>
  <c r="R5"/>
  <c r="R46" s="1"/>
  <c r="T5"/>
  <c r="U5"/>
  <c r="W5"/>
  <c r="W46" s="1"/>
  <c r="X5"/>
  <c r="X46" s="1"/>
  <c r="AG5"/>
  <c r="AG46" s="1"/>
  <c r="AH5"/>
  <c r="AH46" s="1"/>
  <c r="AI5"/>
  <c r="AI46" s="1"/>
  <c r="AJ5"/>
  <c r="AJ46" s="1"/>
  <c r="BA5"/>
  <c r="BA46" s="1"/>
  <c r="BV5"/>
  <c r="BW5"/>
  <c r="BX5"/>
  <c r="BY5"/>
  <c r="BZ5"/>
  <c r="CA5"/>
  <c r="CB5"/>
  <c r="CD5"/>
  <c r="CE5"/>
  <c r="CF5"/>
  <c r="CG5"/>
  <c r="CH5"/>
  <c r="CI5"/>
  <c r="CJ5"/>
  <c r="CM5"/>
  <c r="CN5"/>
  <c r="CO5"/>
  <c r="CQ5"/>
  <c r="CS5"/>
  <c r="CT5"/>
  <c r="CU5"/>
  <c r="CV5"/>
  <c r="CW5"/>
  <c r="CY5"/>
  <c r="CZ5"/>
  <c r="DA5"/>
  <c r="DB5"/>
  <c r="DC5"/>
  <c r="DD5"/>
  <c r="DE5"/>
  <c r="DF5"/>
  <c r="DG5"/>
  <c r="DH5"/>
  <c r="DI5"/>
  <c r="DJ5"/>
  <c r="DL5"/>
  <c r="DM5"/>
  <c r="DN5"/>
  <c r="DO5"/>
  <c r="DP5"/>
  <c r="DQ5"/>
  <c r="DS5"/>
  <c r="DT5"/>
  <c r="DU5"/>
  <c r="C6"/>
  <c r="C47" s="1"/>
  <c r="O6"/>
  <c r="O47" s="1"/>
  <c r="W6"/>
  <c r="W47" s="1"/>
  <c r="BW6"/>
  <c r="CF6"/>
  <c r="CQ6"/>
  <c r="DA6"/>
  <c r="DI6"/>
  <c r="DS6"/>
  <c r="C7"/>
  <c r="C48" s="1"/>
  <c r="D7"/>
  <c r="D48" s="1"/>
  <c r="E7"/>
  <c r="E48" s="1"/>
  <c r="F7"/>
  <c r="F48" s="1"/>
  <c r="G7"/>
  <c r="G48" s="1"/>
  <c r="H7"/>
  <c r="H48" s="1"/>
  <c r="J7"/>
  <c r="J48" s="1"/>
  <c r="K7"/>
  <c r="K48" s="1"/>
  <c r="O7"/>
  <c r="O48" s="1"/>
  <c r="I7"/>
  <c r="I48" s="1"/>
  <c r="L7"/>
  <c r="L48" s="1"/>
  <c r="P7"/>
  <c r="P48" s="1"/>
  <c r="Q7"/>
  <c r="Q48" s="1"/>
  <c r="R7"/>
  <c r="R48" s="1"/>
  <c r="T7"/>
  <c r="U7"/>
  <c r="W7"/>
  <c r="W48" s="1"/>
  <c r="X7"/>
  <c r="X48" s="1"/>
  <c r="AG7"/>
  <c r="AG48" s="1"/>
  <c r="AH7"/>
  <c r="AH48" s="1"/>
  <c r="AI7"/>
  <c r="AI48" s="1"/>
  <c r="AJ7"/>
  <c r="AJ48" s="1"/>
  <c r="BV7"/>
  <c r="BW7"/>
  <c r="BX7"/>
  <c r="BY7"/>
  <c r="BZ7"/>
  <c r="CA7"/>
  <c r="CB7"/>
  <c r="CD7"/>
  <c r="CE7"/>
  <c r="CF7"/>
  <c r="CG7"/>
  <c r="CH7"/>
  <c r="CI7"/>
  <c r="CJ7"/>
  <c r="CM7"/>
  <c r="CN7"/>
  <c r="CO7"/>
  <c r="CQ7"/>
  <c r="CS7"/>
  <c r="CT7"/>
  <c r="CU7"/>
  <c r="CV7"/>
  <c r="CW7"/>
  <c r="CY7"/>
  <c r="CZ7"/>
  <c r="DA7"/>
  <c r="DB7"/>
  <c r="DC7"/>
  <c r="DD7"/>
  <c r="DE7"/>
  <c r="DF7"/>
  <c r="DG7"/>
  <c r="DH7"/>
  <c r="DI7"/>
  <c r="DJ7"/>
  <c r="DL7"/>
  <c r="DM7"/>
  <c r="DN7"/>
  <c r="DO7"/>
  <c r="DP7"/>
  <c r="DQ7"/>
  <c r="DS7"/>
  <c r="DT7"/>
  <c r="DU7"/>
  <c r="C8"/>
  <c r="C49" s="1"/>
  <c r="D8"/>
  <c r="D49" s="1"/>
  <c r="E8"/>
  <c r="E49" s="1"/>
  <c r="F8"/>
  <c r="F49" s="1"/>
  <c r="G8"/>
  <c r="G49" s="1"/>
  <c r="H8"/>
  <c r="H49" s="1"/>
  <c r="J8"/>
  <c r="J49" s="1"/>
  <c r="K8"/>
  <c r="K49" s="1"/>
  <c r="O8"/>
  <c r="O49" s="1"/>
  <c r="I8"/>
  <c r="I49" s="1"/>
  <c r="L8"/>
  <c r="L49" s="1"/>
  <c r="P8"/>
  <c r="P49" s="1"/>
  <c r="Q8"/>
  <c r="Q49" s="1"/>
  <c r="R8"/>
  <c r="R49" s="1"/>
  <c r="T8"/>
  <c r="U8"/>
  <c r="W8"/>
  <c r="W49" s="1"/>
  <c r="X8"/>
  <c r="X49" s="1"/>
  <c r="AG8"/>
  <c r="AG49" s="1"/>
  <c r="AH8"/>
  <c r="AH49" s="1"/>
  <c r="AI8"/>
  <c r="AI49" s="1"/>
  <c r="AJ8"/>
  <c r="AJ49" s="1"/>
  <c r="BA8"/>
  <c r="BA49" s="1"/>
  <c r="BC8"/>
  <c r="BC49" s="1"/>
  <c r="BV8"/>
  <c r="BW8"/>
  <c r="BX8"/>
  <c r="BY8"/>
  <c r="BZ8"/>
  <c r="CA8"/>
  <c r="CB8"/>
  <c r="CD8"/>
  <c r="CE8"/>
  <c r="CF8"/>
  <c r="CG8"/>
  <c r="CH8"/>
  <c r="CI8"/>
  <c r="CJ8"/>
  <c r="CM8"/>
  <c r="CN8"/>
  <c r="CO8"/>
  <c r="CQ8"/>
  <c r="CS8"/>
  <c r="CT8"/>
  <c r="CU8"/>
  <c r="CV8"/>
  <c r="CW8"/>
  <c r="CY8"/>
  <c r="CZ8"/>
  <c r="DA8"/>
  <c r="DB8"/>
  <c r="DC8"/>
  <c r="DD8"/>
  <c r="DE8"/>
  <c r="DF8"/>
  <c r="DG8"/>
  <c r="DH8"/>
  <c r="DI8"/>
  <c r="DJ8"/>
  <c r="DL8"/>
  <c r="DM8"/>
  <c r="DN8"/>
  <c r="DO8"/>
  <c r="DP8"/>
  <c r="DQ8"/>
  <c r="DS8"/>
  <c r="DT8"/>
  <c r="DU8"/>
  <c r="C9"/>
  <c r="C50" s="1"/>
  <c r="D9"/>
  <c r="D50" s="1"/>
  <c r="E9"/>
  <c r="E50" s="1"/>
  <c r="F9"/>
  <c r="F50" s="1"/>
  <c r="G9"/>
  <c r="G50" s="1"/>
  <c r="H9"/>
  <c r="H50" s="1"/>
  <c r="J9"/>
  <c r="J50" s="1"/>
  <c r="K9"/>
  <c r="K50" s="1"/>
  <c r="O9"/>
  <c r="O50" s="1"/>
  <c r="I9"/>
  <c r="I50" s="1"/>
  <c r="L9"/>
  <c r="L50" s="1"/>
  <c r="P9"/>
  <c r="P50" s="1"/>
  <c r="Q9"/>
  <c r="Q50" s="1"/>
  <c r="R9"/>
  <c r="R50" s="1"/>
  <c r="T9"/>
  <c r="U9"/>
  <c r="W9"/>
  <c r="W50" s="1"/>
  <c r="X9"/>
  <c r="X50" s="1"/>
  <c r="AA9"/>
  <c r="AA50" s="1"/>
  <c r="AG9"/>
  <c r="AG50" s="1"/>
  <c r="AH9"/>
  <c r="AH50" s="1"/>
  <c r="AI9"/>
  <c r="AI50" s="1"/>
  <c r="AJ9"/>
  <c r="AJ50" s="1"/>
  <c r="BA9"/>
  <c r="BA50" s="1"/>
  <c r="BC9"/>
  <c r="BC50" s="1"/>
  <c r="BV9"/>
  <c r="BV50" s="1"/>
  <c r="BW9"/>
  <c r="BW50" s="1"/>
  <c r="BX9"/>
  <c r="BX50" s="1"/>
  <c r="BY9"/>
  <c r="BY50" s="1"/>
  <c r="BZ9"/>
  <c r="BZ50" s="1"/>
  <c r="CA9"/>
  <c r="CA50" s="1"/>
  <c r="CB9"/>
  <c r="CB50" s="1"/>
  <c r="CD9"/>
  <c r="CD50" s="1"/>
  <c r="CE9"/>
  <c r="CE50" s="1"/>
  <c r="CF9"/>
  <c r="CF50" s="1"/>
  <c r="CG9"/>
  <c r="CG50" s="1"/>
  <c r="CH9"/>
  <c r="CH50" s="1"/>
  <c r="CI9"/>
  <c r="CI50" s="1"/>
  <c r="CJ9"/>
  <c r="CJ50" s="1"/>
  <c r="CM9"/>
  <c r="CM50" s="1"/>
  <c r="CN9"/>
  <c r="CN50" s="1"/>
  <c r="CO9"/>
  <c r="CO50" s="1"/>
  <c r="CQ9"/>
  <c r="CQ50" s="1"/>
  <c r="CS9"/>
  <c r="CS50" s="1"/>
  <c r="CT9"/>
  <c r="CT50" s="1"/>
  <c r="CU9"/>
  <c r="CU50" s="1"/>
  <c r="CV9"/>
  <c r="CV50" s="1"/>
  <c r="CW9"/>
  <c r="CW50" s="1"/>
  <c r="CY9"/>
  <c r="CY50" s="1"/>
  <c r="CZ9"/>
  <c r="CZ50" s="1"/>
  <c r="DA9"/>
  <c r="DA50" s="1"/>
  <c r="DB9"/>
  <c r="DB50" s="1"/>
  <c r="DC9"/>
  <c r="DC50" s="1"/>
  <c r="DD9"/>
  <c r="DD50" s="1"/>
  <c r="DE9"/>
  <c r="DE50" s="1"/>
  <c r="DF9"/>
  <c r="DF50" s="1"/>
  <c r="DG9"/>
  <c r="DG50" s="1"/>
  <c r="DH9"/>
  <c r="DH50" s="1"/>
  <c r="DI9"/>
  <c r="DI50" s="1"/>
  <c r="DJ9"/>
  <c r="DJ50" s="1"/>
  <c r="DL9"/>
  <c r="DL50" s="1"/>
  <c r="DM9"/>
  <c r="DM50" s="1"/>
  <c r="DN9"/>
  <c r="DN50" s="1"/>
  <c r="DO9"/>
  <c r="DO50" s="1"/>
  <c r="DP9"/>
  <c r="DP50" s="1"/>
  <c r="DQ9"/>
  <c r="DQ50" s="1"/>
  <c r="DS9"/>
  <c r="DS50" s="1"/>
  <c r="DT9"/>
  <c r="DT50" s="1"/>
  <c r="DU9"/>
  <c r="DU50" s="1"/>
  <c r="C10"/>
  <c r="C51" s="1"/>
  <c r="D10"/>
  <c r="D51" s="1"/>
  <c r="E10"/>
  <c r="E51" s="1"/>
  <c r="F10"/>
  <c r="F51" s="1"/>
  <c r="G10"/>
  <c r="G51" s="1"/>
  <c r="H10"/>
  <c r="H51" s="1"/>
  <c r="J10"/>
  <c r="J51" s="1"/>
  <c r="K10"/>
  <c r="K51" s="1"/>
  <c r="O10"/>
  <c r="O51" s="1"/>
  <c r="I10"/>
  <c r="I51" s="1"/>
  <c r="L10"/>
  <c r="L51" s="1"/>
  <c r="P10"/>
  <c r="P51" s="1"/>
  <c r="Q10"/>
  <c r="Q51" s="1"/>
  <c r="R10"/>
  <c r="R51" s="1"/>
  <c r="T10"/>
  <c r="U10"/>
  <c r="W10"/>
  <c r="W51" s="1"/>
  <c r="X10"/>
  <c r="X51" s="1"/>
  <c r="AA10"/>
  <c r="AA51" s="1"/>
  <c r="AG10"/>
  <c r="AG51" s="1"/>
  <c r="AH10"/>
  <c r="AH51" s="1"/>
  <c r="AI10"/>
  <c r="AI51" s="1"/>
  <c r="AJ10"/>
  <c r="AJ51" s="1"/>
  <c r="AL10"/>
  <c r="AL51" s="1"/>
  <c r="AM10"/>
  <c r="AM51" s="1"/>
  <c r="AO10"/>
  <c r="AO51" s="1"/>
  <c r="AP10"/>
  <c r="AP51" s="1"/>
  <c r="BA10"/>
  <c r="BA51" s="1"/>
  <c r="BC10"/>
  <c r="BC51" s="1"/>
  <c r="BV10"/>
  <c r="BV51" s="1"/>
  <c r="BW10"/>
  <c r="BW51" s="1"/>
  <c r="BX10"/>
  <c r="BX51" s="1"/>
  <c r="BY10"/>
  <c r="BY51" s="1"/>
  <c r="BZ10"/>
  <c r="BZ51" s="1"/>
  <c r="CA10"/>
  <c r="CA51" s="1"/>
  <c r="CB10"/>
  <c r="CB51" s="1"/>
  <c r="CD10"/>
  <c r="CD51" s="1"/>
  <c r="CE10"/>
  <c r="CE51" s="1"/>
  <c r="CF10"/>
  <c r="CF51" s="1"/>
  <c r="CG10"/>
  <c r="CG51" s="1"/>
  <c r="CH10"/>
  <c r="CH51" s="1"/>
  <c r="CI10"/>
  <c r="CI51" s="1"/>
  <c r="CJ10"/>
  <c r="CJ51" s="1"/>
  <c r="CM10"/>
  <c r="CM51" s="1"/>
  <c r="CN10"/>
  <c r="CN51" s="1"/>
  <c r="CO10"/>
  <c r="CO51" s="1"/>
  <c r="CQ10"/>
  <c r="CQ51" s="1"/>
  <c r="CS10"/>
  <c r="CS51" s="1"/>
  <c r="CT10"/>
  <c r="CT51" s="1"/>
  <c r="CU10"/>
  <c r="CU51" s="1"/>
  <c r="CV10"/>
  <c r="CV51" s="1"/>
  <c r="CW10"/>
  <c r="CW51" s="1"/>
  <c r="CY10"/>
  <c r="CY51" s="1"/>
  <c r="CZ10"/>
  <c r="CZ51" s="1"/>
  <c r="DA10"/>
  <c r="DA51" s="1"/>
  <c r="DB10"/>
  <c r="DB51" s="1"/>
  <c r="DC10"/>
  <c r="DC51" s="1"/>
  <c r="DD10"/>
  <c r="DD51" s="1"/>
  <c r="DE10"/>
  <c r="DE51" s="1"/>
  <c r="DF10"/>
  <c r="DF51" s="1"/>
  <c r="DG10"/>
  <c r="DG51" s="1"/>
  <c r="DH10"/>
  <c r="DH51" s="1"/>
  <c r="DI10"/>
  <c r="DI51" s="1"/>
  <c r="DJ10"/>
  <c r="DJ51" s="1"/>
  <c r="DL10"/>
  <c r="DL51" s="1"/>
  <c r="DM10"/>
  <c r="DM51" s="1"/>
  <c r="DN10"/>
  <c r="DN51" s="1"/>
  <c r="DO10"/>
  <c r="DO51" s="1"/>
  <c r="DP10"/>
  <c r="DP51" s="1"/>
  <c r="DQ10"/>
  <c r="DQ51" s="1"/>
  <c r="DS10"/>
  <c r="DS51" s="1"/>
  <c r="DT10"/>
  <c r="DT51" s="1"/>
  <c r="DU10"/>
  <c r="DU51" s="1"/>
  <c r="C11"/>
  <c r="D11"/>
  <c r="D52" s="1"/>
  <c r="E11"/>
  <c r="E52" s="1"/>
  <c r="F11"/>
  <c r="F52" s="1"/>
  <c r="G11"/>
  <c r="G52" s="1"/>
  <c r="H11"/>
  <c r="H52" s="1"/>
  <c r="J11"/>
  <c r="J52" s="1"/>
  <c r="K11"/>
  <c r="K52" s="1"/>
  <c r="O11"/>
  <c r="O52" s="1"/>
  <c r="I11"/>
  <c r="I52" s="1"/>
  <c r="L11"/>
  <c r="L52" s="1"/>
  <c r="P11"/>
  <c r="P52" s="1"/>
  <c r="Q11"/>
  <c r="Q52" s="1"/>
  <c r="R11"/>
  <c r="R52" s="1"/>
  <c r="T11"/>
  <c r="T52" s="1"/>
  <c r="U11"/>
  <c r="W11"/>
  <c r="W52" s="1"/>
  <c r="X11"/>
  <c r="X52" s="1"/>
  <c r="AA11"/>
  <c r="AA52" s="1"/>
  <c r="AG11"/>
  <c r="AG52" s="1"/>
  <c r="AH11"/>
  <c r="AH52" s="1"/>
  <c r="AI11"/>
  <c r="AI52" s="1"/>
  <c r="AJ11"/>
  <c r="AJ52" s="1"/>
  <c r="AL11"/>
  <c r="AL52" s="1"/>
  <c r="AM11"/>
  <c r="AM52" s="1"/>
  <c r="AO11"/>
  <c r="AP11"/>
  <c r="AP52" s="1"/>
  <c r="BA11"/>
  <c r="BA52" s="1"/>
  <c r="BC11"/>
  <c r="BC52" s="1"/>
  <c r="BE11"/>
  <c r="BE52" s="1"/>
  <c r="BF11"/>
  <c r="BF52" s="1"/>
  <c r="BG11"/>
  <c r="BG52" s="1"/>
  <c r="BV11"/>
  <c r="BV52" s="1"/>
  <c r="BW11"/>
  <c r="BW52" s="1"/>
  <c r="BX11"/>
  <c r="BX52" s="1"/>
  <c r="BY11"/>
  <c r="BZ11"/>
  <c r="BZ52" s="1"/>
  <c r="CA11"/>
  <c r="CA52" s="1"/>
  <c r="CB11"/>
  <c r="CB52" s="1"/>
  <c r="CD11"/>
  <c r="CD52" s="1"/>
  <c r="CE11"/>
  <c r="CE52" s="1"/>
  <c r="CF11"/>
  <c r="CF52" s="1"/>
  <c r="CG11"/>
  <c r="CG52" s="1"/>
  <c r="CH11"/>
  <c r="CH52" s="1"/>
  <c r="CI11"/>
  <c r="CI52" s="1"/>
  <c r="CJ11"/>
  <c r="CJ52" s="1"/>
  <c r="CM11"/>
  <c r="CM52" s="1"/>
  <c r="CN11"/>
  <c r="CN52" s="1"/>
  <c r="CO11"/>
  <c r="CO52" s="1"/>
  <c r="CQ11"/>
  <c r="CQ52" s="1"/>
  <c r="CS11"/>
  <c r="CS52" s="1"/>
  <c r="CT11"/>
  <c r="CT52" s="1"/>
  <c r="CU11"/>
  <c r="CU52" s="1"/>
  <c r="CV11"/>
  <c r="CV52" s="1"/>
  <c r="CW11"/>
  <c r="CW52" s="1"/>
  <c r="CY11"/>
  <c r="CY52" s="1"/>
  <c r="CZ11"/>
  <c r="CZ52" s="1"/>
  <c r="DA11"/>
  <c r="DA52" s="1"/>
  <c r="DB11"/>
  <c r="DB52" s="1"/>
  <c r="DC11"/>
  <c r="DC52" s="1"/>
  <c r="DD11"/>
  <c r="DD52" s="1"/>
  <c r="DE11"/>
  <c r="DE52" s="1"/>
  <c r="DF11"/>
  <c r="DF52" s="1"/>
  <c r="DG11"/>
  <c r="DG52" s="1"/>
  <c r="DH11"/>
  <c r="DH52" s="1"/>
  <c r="DI11"/>
  <c r="DI52" s="1"/>
  <c r="DJ11"/>
  <c r="DJ52" s="1"/>
  <c r="DL11"/>
  <c r="DL52" s="1"/>
  <c r="DM11"/>
  <c r="DM52" s="1"/>
  <c r="DN11"/>
  <c r="DN52" s="1"/>
  <c r="DO11"/>
  <c r="DO52" s="1"/>
  <c r="DP11"/>
  <c r="DP52" s="1"/>
  <c r="DQ11"/>
  <c r="DQ52" s="1"/>
  <c r="DS11"/>
  <c r="DS52" s="1"/>
  <c r="DT11"/>
  <c r="DT52" s="1"/>
  <c r="DU11"/>
  <c r="DU52" s="1"/>
  <c r="C12"/>
  <c r="D12"/>
  <c r="D53" s="1"/>
  <c r="E12"/>
  <c r="E53" s="1"/>
  <c r="F12"/>
  <c r="F53" s="1"/>
  <c r="G12"/>
  <c r="G53" s="1"/>
  <c r="H12"/>
  <c r="H53" s="1"/>
  <c r="J12"/>
  <c r="J53" s="1"/>
  <c r="K12"/>
  <c r="K53" s="1"/>
  <c r="O12"/>
  <c r="O53" s="1"/>
  <c r="I12"/>
  <c r="I53" s="1"/>
  <c r="L12"/>
  <c r="L53" s="1"/>
  <c r="P12"/>
  <c r="P53" s="1"/>
  <c r="Q12"/>
  <c r="Q53" s="1"/>
  <c r="R12"/>
  <c r="R53" s="1"/>
  <c r="T12"/>
  <c r="T53" s="1"/>
  <c r="U12"/>
  <c r="W12"/>
  <c r="W53" s="1"/>
  <c r="X12"/>
  <c r="X53" s="1"/>
  <c r="Z12"/>
  <c r="Z53" s="1"/>
  <c r="AA12"/>
  <c r="AA53" s="1"/>
  <c r="AG12"/>
  <c r="AG53" s="1"/>
  <c r="AH12"/>
  <c r="AH53" s="1"/>
  <c r="AI12"/>
  <c r="AI53" s="1"/>
  <c r="AJ12"/>
  <c r="AJ53" s="1"/>
  <c r="AM12"/>
  <c r="AM53" s="1"/>
  <c r="AO12"/>
  <c r="AO53" s="1"/>
  <c r="AP12"/>
  <c r="AP53" s="1"/>
  <c r="BA12"/>
  <c r="BA53" s="1"/>
  <c r="BC12"/>
  <c r="BC53" s="1"/>
  <c r="BE12"/>
  <c r="BE53" s="1"/>
  <c r="BF12"/>
  <c r="BF53" s="1"/>
  <c r="BG12"/>
  <c r="BG53" s="1"/>
  <c r="BM12"/>
  <c r="BM53" s="1"/>
  <c r="BP12"/>
  <c r="BP53" s="1"/>
  <c r="BV12"/>
  <c r="BV53" s="1"/>
  <c r="BW12"/>
  <c r="BW53" s="1"/>
  <c r="BX12"/>
  <c r="BX53" s="1"/>
  <c r="BY12"/>
  <c r="BY53" s="1"/>
  <c r="BZ12"/>
  <c r="BZ53" s="1"/>
  <c r="CA12"/>
  <c r="CA53" s="1"/>
  <c r="CB12"/>
  <c r="CB53" s="1"/>
  <c r="CD12"/>
  <c r="CD53" s="1"/>
  <c r="CE12"/>
  <c r="CE53" s="1"/>
  <c r="CF12"/>
  <c r="CF53" s="1"/>
  <c r="CG12"/>
  <c r="CG53" s="1"/>
  <c r="CH12"/>
  <c r="CH53" s="1"/>
  <c r="CI12"/>
  <c r="CI53" s="1"/>
  <c r="CJ12"/>
  <c r="CJ53" s="1"/>
  <c r="CM12"/>
  <c r="CM53" s="1"/>
  <c r="CN12"/>
  <c r="CN53" s="1"/>
  <c r="CO12"/>
  <c r="CO53" s="1"/>
  <c r="CQ12"/>
  <c r="CQ53" s="1"/>
  <c r="CS12"/>
  <c r="CS53" s="1"/>
  <c r="CT12"/>
  <c r="CT53" s="1"/>
  <c r="CU12"/>
  <c r="CU53" s="1"/>
  <c r="CV12"/>
  <c r="CV53" s="1"/>
  <c r="CW12"/>
  <c r="CW53" s="1"/>
  <c r="CY12"/>
  <c r="CY53" s="1"/>
  <c r="CZ12"/>
  <c r="CZ53" s="1"/>
  <c r="DA12"/>
  <c r="DA53" s="1"/>
  <c r="DB12"/>
  <c r="DB53" s="1"/>
  <c r="DC12"/>
  <c r="DC53" s="1"/>
  <c r="DD12"/>
  <c r="DD53" s="1"/>
  <c r="DE12"/>
  <c r="DE53" s="1"/>
  <c r="DF12"/>
  <c r="DF53" s="1"/>
  <c r="DG12"/>
  <c r="DG53" s="1"/>
  <c r="DH12"/>
  <c r="DH53" s="1"/>
  <c r="DI12"/>
  <c r="DI53" s="1"/>
  <c r="DJ12"/>
  <c r="DJ53" s="1"/>
  <c r="DL12"/>
  <c r="DL53" s="1"/>
  <c r="DM12"/>
  <c r="DM53" s="1"/>
  <c r="DN12"/>
  <c r="DN53" s="1"/>
  <c r="DO12"/>
  <c r="DO53" s="1"/>
  <c r="DP12"/>
  <c r="DP53" s="1"/>
  <c r="DQ12"/>
  <c r="DQ53" s="1"/>
  <c r="DS12"/>
  <c r="DS53" s="1"/>
  <c r="DT12"/>
  <c r="DT53" s="1"/>
  <c r="DU12"/>
  <c r="DU53" s="1"/>
  <c r="C13"/>
  <c r="D13"/>
  <c r="D54" s="1"/>
  <c r="E13"/>
  <c r="E54" s="1"/>
  <c r="F13"/>
  <c r="F54" s="1"/>
  <c r="G13"/>
  <c r="G54" s="1"/>
  <c r="H13"/>
  <c r="H54" s="1"/>
  <c r="J13"/>
  <c r="J54" s="1"/>
  <c r="K13"/>
  <c r="K54" s="1"/>
  <c r="O13"/>
  <c r="O54" s="1"/>
  <c r="I13"/>
  <c r="I54" s="1"/>
  <c r="L13"/>
  <c r="L54" s="1"/>
  <c r="P13"/>
  <c r="P54" s="1"/>
  <c r="Q13"/>
  <c r="Q54" s="1"/>
  <c r="R13"/>
  <c r="R54" s="1"/>
  <c r="T13"/>
  <c r="T54" s="1"/>
  <c r="U13"/>
  <c r="W13"/>
  <c r="W54" s="1"/>
  <c r="X13"/>
  <c r="X54" s="1"/>
  <c r="Z13"/>
  <c r="Z54" s="1"/>
  <c r="AA13"/>
  <c r="AA54" s="1"/>
  <c r="AC13"/>
  <c r="AC54" s="1"/>
  <c r="AD13"/>
  <c r="AD54" s="1"/>
  <c r="AG13"/>
  <c r="AG54" s="1"/>
  <c r="AH13"/>
  <c r="AH54" s="1"/>
  <c r="AI13"/>
  <c r="AI54" s="1"/>
  <c r="AJ13"/>
  <c r="AJ54" s="1"/>
  <c r="AL13"/>
  <c r="AL54" s="1"/>
  <c r="AM13"/>
  <c r="AM54" s="1"/>
  <c r="AO13"/>
  <c r="AO54" s="1"/>
  <c r="AP13"/>
  <c r="AP54" s="1"/>
  <c r="BA13"/>
  <c r="BA54" s="1"/>
  <c r="BB13"/>
  <c r="BB54" s="1"/>
  <c r="BC13"/>
  <c r="BC54" s="1"/>
  <c r="BE13"/>
  <c r="BE54" s="1"/>
  <c r="BF13"/>
  <c r="BF54" s="1"/>
  <c r="BG13"/>
  <c r="BG54" s="1"/>
  <c r="BI13"/>
  <c r="BI54" s="1"/>
  <c r="BM13"/>
  <c r="BM54" s="1"/>
  <c r="BP13"/>
  <c r="BP54" s="1"/>
  <c r="BV13"/>
  <c r="BV54" s="1"/>
  <c r="BW13"/>
  <c r="BW54" s="1"/>
  <c r="BX13"/>
  <c r="BX54" s="1"/>
  <c r="BY13"/>
  <c r="BY54" s="1"/>
  <c r="BZ13"/>
  <c r="BZ54" s="1"/>
  <c r="CA13"/>
  <c r="CA54" s="1"/>
  <c r="CB13"/>
  <c r="CB54" s="1"/>
  <c r="CD13"/>
  <c r="CD54" s="1"/>
  <c r="CE13"/>
  <c r="CE54" s="1"/>
  <c r="CF13"/>
  <c r="CF54" s="1"/>
  <c r="CG13"/>
  <c r="CG54" s="1"/>
  <c r="CH13"/>
  <c r="CH54" s="1"/>
  <c r="CI13"/>
  <c r="CI54" s="1"/>
  <c r="CJ13"/>
  <c r="CJ54" s="1"/>
  <c r="CM13"/>
  <c r="CM54" s="1"/>
  <c r="CN13"/>
  <c r="CN54" s="1"/>
  <c r="CO13"/>
  <c r="CO54" s="1"/>
  <c r="CQ13"/>
  <c r="CQ54" s="1"/>
  <c r="CS13"/>
  <c r="CS54" s="1"/>
  <c r="CT13"/>
  <c r="CT54" s="1"/>
  <c r="CU13"/>
  <c r="CU54" s="1"/>
  <c r="CV13"/>
  <c r="CV54" s="1"/>
  <c r="CW13"/>
  <c r="CW54" s="1"/>
  <c r="CY13"/>
  <c r="CY54" s="1"/>
  <c r="CZ13"/>
  <c r="CZ54" s="1"/>
  <c r="DA13"/>
  <c r="DA54" s="1"/>
  <c r="DB13"/>
  <c r="DB54" s="1"/>
  <c r="DC13"/>
  <c r="DC54" s="1"/>
  <c r="DD13"/>
  <c r="DD54" s="1"/>
  <c r="DE13"/>
  <c r="DE54" s="1"/>
  <c r="DF13"/>
  <c r="DF54" s="1"/>
  <c r="DG13"/>
  <c r="DG54" s="1"/>
  <c r="DH13"/>
  <c r="DH54" s="1"/>
  <c r="DI13"/>
  <c r="DI54" s="1"/>
  <c r="DJ13"/>
  <c r="DJ54" s="1"/>
  <c r="DL13"/>
  <c r="DL54" s="1"/>
  <c r="DM13"/>
  <c r="DM54" s="1"/>
  <c r="DN13"/>
  <c r="DN54" s="1"/>
  <c r="DO13"/>
  <c r="DO54" s="1"/>
  <c r="DP13"/>
  <c r="DP54" s="1"/>
  <c r="DQ13"/>
  <c r="DQ54" s="1"/>
  <c r="DS13"/>
  <c r="DS54" s="1"/>
  <c r="DT13"/>
  <c r="DT54" s="1"/>
  <c r="DU13"/>
  <c r="DU54" s="1"/>
  <c r="C14"/>
  <c r="D14"/>
  <c r="D55" s="1"/>
  <c r="E14"/>
  <c r="E55" s="1"/>
  <c r="F14"/>
  <c r="F55" s="1"/>
  <c r="G14"/>
  <c r="G55" s="1"/>
  <c r="H14"/>
  <c r="H55" s="1"/>
  <c r="J14"/>
  <c r="J55" s="1"/>
  <c r="K14"/>
  <c r="K55" s="1"/>
  <c r="O14"/>
  <c r="O55" s="1"/>
  <c r="I14"/>
  <c r="I55" s="1"/>
  <c r="L14"/>
  <c r="L55" s="1"/>
  <c r="P14"/>
  <c r="P55" s="1"/>
  <c r="Q14"/>
  <c r="Q55" s="1"/>
  <c r="R14"/>
  <c r="R55" s="1"/>
  <c r="T14"/>
  <c r="T55" s="1"/>
  <c r="U14"/>
  <c r="W14"/>
  <c r="W55" s="1"/>
  <c r="X14"/>
  <c r="X55" s="1"/>
  <c r="Z14"/>
  <c r="Z55" s="1"/>
  <c r="AA14"/>
  <c r="AA55" s="1"/>
  <c r="AC14"/>
  <c r="AC55" s="1"/>
  <c r="AD14"/>
  <c r="AD55" s="1"/>
  <c r="AG14"/>
  <c r="AG55" s="1"/>
  <c r="AH14"/>
  <c r="AH55" s="1"/>
  <c r="AI14"/>
  <c r="AI55" s="1"/>
  <c r="AJ14"/>
  <c r="AJ55" s="1"/>
  <c r="AL14"/>
  <c r="AL55" s="1"/>
  <c r="AM14"/>
  <c r="AM55" s="1"/>
  <c r="AO14"/>
  <c r="AO55" s="1"/>
  <c r="AP14"/>
  <c r="AP55" s="1"/>
  <c r="BA14"/>
  <c r="BA55" s="1"/>
  <c r="BB14"/>
  <c r="BB55" s="1"/>
  <c r="BC14"/>
  <c r="BC55" s="1"/>
  <c r="BE14"/>
  <c r="BE55" s="1"/>
  <c r="BF14"/>
  <c r="BF55" s="1"/>
  <c r="BG14"/>
  <c r="BG55" s="1"/>
  <c r="BI14"/>
  <c r="BI55" s="1"/>
  <c r="BM14"/>
  <c r="BM55" s="1"/>
  <c r="BP14"/>
  <c r="BP55" s="1"/>
  <c r="BV14"/>
  <c r="BW14"/>
  <c r="BX14"/>
  <c r="BY14"/>
  <c r="BZ14"/>
  <c r="CA14"/>
  <c r="CB14"/>
  <c r="CD14"/>
  <c r="CE14"/>
  <c r="CF14"/>
  <c r="CG14"/>
  <c r="CH14"/>
  <c r="CI14"/>
  <c r="CJ14"/>
  <c r="CM14"/>
  <c r="CN14"/>
  <c r="CO14"/>
  <c r="CQ14"/>
  <c r="CS14"/>
  <c r="CT14"/>
  <c r="CU14"/>
  <c r="CV14"/>
  <c r="CW14"/>
  <c r="CY14"/>
  <c r="CZ14"/>
  <c r="DA14"/>
  <c r="DB14"/>
  <c r="DC14"/>
  <c r="DD14"/>
  <c r="DE14"/>
  <c r="DF14"/>
  <c r="DG14"/>
  <c r="DH14"/>
  <c r="DI14"/>
  <c r="DJ14"/>
  <c r="DL14"/>
  <c r="DM14"/>
  <c r="DN14"/>
  <c r="DO14"/>
  <c r="DP14"/>
  <c r="DQ14"/>
  <c r="DS14"/>
  <c r="DT14"/>
  <c r="DU14"/>
  <c r="C15"/>
  <c r="D15"/>
  <c r="D56" s="1"/>
  <c r="E15"/>
  <c r="E56" s="1"/>
  <c r="F15"/>
  <c r="F56" s="1"/>
  <c r="G15"/>
  <c r="G56" s="1"/>
  <c r="H15"/>
  <c r="H56" s="1"/>
  <c r="J15"/>
  <c r="J56" s="1"/>
  <c r="K15"/>
  <c r="K56" s="1"/>
  <c r="O15"/>
  <c r="O56" s="1"/>
  <c r="I15"/>
  <c r="I56" s="1"/>
  <c r="L15"/>
  <c r="L56" s="1"/>
  <c r="P15"/>
  <c r="P56" s="1"/>
  <c r="Q15"/>
  <c r="Q56" s="1"/>
  <c r="R15"/>
  <c r="R56" s="1"/>
  <c r="T15"/>
  <c r="T56" s="1"/>
  <c r="U15"/>
  <c r="U56" s="1"/>
  <c r="W15"/>
  <c r="W56" s="1"/>
  <c r="X15"/>
  <c r="X56" s="1"/>
  <c r="Z15"/>
  <c r="Z56" s="1"/>
  <c r="AA15"/>
  <c r="AA56" s="1"/>
  <c r="AC15"/>
  <c r="AC56" s="1"/>
  <c r="AD15"/>
  <c r="AD56" s="1"/>
  <c r="AG15"/>
  <c r="AG56" s="1"/>
  <c r="AH15"/>
  <c r="AH56" s="1"/>
  <c r="AI15"/>
  <c r="AI56" s="1"/>
  <c r="AJ15"/>
  <c r="AJ56" s="1"/>
  <c r="AL15"/>
  <c r="AL56" s="1"/>
  <c r="AM15"/>
  <c r="AO15"/>
  <c r="AO56" s="1"/>
  <c r="AP15"/>
  <c r="AP56" s="1"/>
  <c r="BA15"/>
  <c r="BA56" s="1"/>
  <c r="BB15"/>
  <c r="BB56" s="1"/>
  <c r="BC15"/>
  <c r="BC56" s="1"/>
  <c r="BE15"/>
  <c r="BE56" s="1"/>
  <c r="BF15"/>
  <c r="BF56" s="1"/>
  <c r="BG15"/>
  <c r="BG56" s="1"/>
  <c r="BI15"/>
  <c r="BI56" s="1"/>
  <c r="BM15"/>
  <c r="BM56" s="1"/>
  <c r="BP15"/>
  <c r="BP56" s="1"/>
  <c r="BV15"/>
  <c r="BW15"/>
  <c r="BX15"/>
  <c r="BY15"/>
  <c r="BZ15"/>
  <c r="CA15"/>
  <c r="CB15"/>
  <c r="CD15"/>
  <c r="CE15"/>
  <c r="CF15"/>
  <c r="CG15"/>
  <c r="CH15"/>
  <c r="CI15"/>
  <c r="CJ15"/>
  <c r="CM15"/>
  <c r="CN15"/>
  <c r="CO15"/>
  <c r="CQ15"/>
  <c r="CS15"/>
  <c r="CT15"/>
  <c r="CU15"/>
  <c r="CV15"/>
  <c r="CW15"/>
  <c r="CY15"/>
  <c r="CZ15"/>
  <c r="DA15"/>
  <c r="DB15"/>
  <c r="DC15"/>
  <c r="DD15"/>
  <c r="DE15"/>
  <c r="DF15"/>
  <c r="DG15"/>
  <c r="DH15"/>
  <c r="DI15"/>
  <c r="DJ15"/>
  <c r="DL15"/>
  <c r="DM15"/>
  <c r="DN15"/>
  <c r="DO15"/>
  <c r="DP15"/>
  <c r="DQ15"/>
  <c r="DS15"/>
  <c r="DT15"/>
  <c r="DU15"/>
  <c r="C16"/>
  <c r="D16"/>
  <c r="D57" s="1"/>
  <c r="E16"/>
  <c r="E57" s="1"/>
  <c r="F16"/>
  <c r="F57" s="1"/>
  <c r="G16"/>
  <c r="G57" s="1"/>
  <c r="H16"/>
  <c r="H57" s="1"/>
  <c r="J16"/>
  <c r="J57" s="1"/>
  <c r="K16"/>
  <c r="K57" s="1"/>
  <c r="O16"/>
  <c r="O57" s="1"/>
  <c r="I16"/>
  <c r="I57" s="1"/>
  <c r="L16"/>
  <c r="L57" s="1"/>
  <c r="P16"/>
  <c r="P57" s="1"/>
  <c r="Q16"/>
  <c r="Q57" s="1"/>
  <c r="R16"/>
  <c r="R57" s="1"/>
  <c r="T16"/>
  <c r="T57" s="1"/>
  <c r="U16"/>
  <c r="U57" s="1"/>
  <c r="W16"/>
  <c r="W57" s="1"/>
  <c r="X16"/>
  <c r="X57" s="1"/>
  <c r="Z16"/>
  <c r="Z57" s="1"/>
  <c r="AA16"/>
  <c r="AA57" s="1"/>
  <c r="AC16"/>
  <c r="AC57" s="1"/>
  <c r="AD16"/>
  <c r="AD57" s="1"/>
  <c r="AG16"/>
  <c r="AG57" s="1"/>
  <c r="AH16"/>
  <c r="AH57" s="1"/>
  <c r="AI16"/>
  <c r="AI57" s="1"/>
  <c r="AJ16"/>
  <c r="AJ57" s="1"/>
  <c r="AL16"/>
  <c r="AL57" s="1"/>
  <c r="AM16"/>
  <c r="AM57" s="1"/>
  <c r="AO16"/>
  <c r="AO57" s="1"/>
  <c r="AP16"/>
  <c r="AP57" s="1"/>
  <c r="BA16"/>
  <c r="BA57" s="1"/>
  <c r="BB16"/>
  <c r="BB57" s="1"/>
  <c r="BC16"/>
  <c r="BC57" s="1"/>
  <c r="BE16"/>
  <c r="BE57" s="1"/>
  <c r="BF16"/>
  <c r="BF57" s="1"/>
  <c r="BG16"/>
  <c r="BG57" s="1"/>
  <c r="BI16"/>
  <c r="BI57" s="1"/>
  <c r="BM16"/>
  <c r="BM57" s="1"/>
  <c r="BP16"/>
  <c r="BP57" s="1"/>
  <c r="BV16"/>
  <c r="BW16"/>
  <c r="BX16"/>
  <c r="BY16"/>
  <c r="BZ16"/>
  <c r="CA16"/>
  <c r="CB16"/>
  <c r="CD16"/>
  <c r="CE16"/>
  <c r="CF16"/>
  <c r="CG16"/>
  <c r="CH16"/>
  <c r="CI16"/>
  <c r="CJ16"/>
  <c r="CM16"/>
  <c r="CN16"/>
  <c r="CO16"/>
  <c r="CQ16"/>
  <c r="CS16"/>
  <c r="CT16"/>
  <c r="CU16"/>
  <c r="CV16"/>
  <c r="CW16"/>
  <c r="CY16"/>
  <c r="CZ16"/>
  <c r="DA16"/>
  <c r="DB16"/>
  <c r="DC16"/>
  <c r="DD16"/>
  <c r="DE16"/>
  <c r="DF16"/>
  <c r="DG16"/>
  <c r="DH16"/>
  <c r="DI16"/>
  <c r="DJ16"/>
  <c r="DL16"/>
  <c r="DM16"/>
  <c r="DN16"/>
  <c r="DO16"/>
  <c r="DP16"/>
  <c r="DQ16"/>
  <c r="DS16"/>
  <c r="DT16"/>
  <c r="DU16"/>
  <c r="C17"/>
  <c r="D17"/>
  <c r="D58" s="1"/>
  <c r="E17"/>
  <c r="E58" s="1"/>
  <c r="F17"/>
  <c r="F58" s="1"/>
  <c r="G17"/>
  <c r="G58" s="1"/>
  <c r="H17"/>
  <c r="H58" s="1"/>
  <c r="J17"/>
  <c r="J58" s="1"/>
  <c r="K17"/>
  <c r="K58" s="1"/>
  <c r="O17"/>
  <c r="O58" s="1"/>
  <c r="I17"/>
  <c r="I58" s="1"/>
  <c r="L17"/>
  <c r="L58" s="1"/>
  <c r="P17"/>
  <c r="P58" s="1"/>
  <c r="Q17"/>
  <c r="Q58" s="1"/>
  <c r="R17"/>
  <c r="R58" s="1"/>
  <c r="T17"/>
  <c r="T58" s="1"/>
  <c r="U17"/>
  <c r="U58" s="1"/>
  <c r="W17"/>
  <c r="W58" s="1"/>
  <c r="X17"/>
  <c r="X58" s="1"/>
  <c r="Z17"/>
  <c r="Z58" s="1"/>
  <c r="AA17"/>
  <c r="AA58" s="1"/>
  <c r="AC17"/>
  <c r="AC58" s="1"/>
  <c r="AD17"/>
  <c r="AD58" s="1"/>
  <c r="AG17"/>
  <c r="AG58" s="1"/>
  <c r="AH17"/>
  <c r="AH58" s="1"/>
  <c r="AI17"/>
  <c r="AI58" s="1"/>
  <c r="AJ17"/>
  <c r="AJ58" s="1"/>
  <c r="AL17"/>
  <c r="AL58" s="1"/>
  <c r="AM17"/>
  <c r="AM58" s="1"/>
  <c r="AO17"/>
  <c r="AO58" s="1"/>
  <c r="AP17"/>
  <c r="AS17"/>
  <c r="AS58" s="1"/>
  <c r="AT17"/>
  <c r="AT58" s="1"/>
  <c r="AV17"/>
  <c r="AV58" s="1"/>
  <c r="BA17"/>
  <c r="BA58" s="1"/>
  <c r="BB17"/>
  <c r="BB58" s="1"/>
  <c r="BE17"/>
  <c r="BE58" s="1"/>
  <c r="BF17"/>
  <c r="BF58" s="1"/>
  <c r="BG17"/>
  <c r="BG58" s="1"/>
  <c r="BI17"/>
  <c r="BI58" s="1"/>
  <c r="BP17"/>
  <c r="BP58" s="1"/>
  <c r="BV17"/>
  <c r="BW17"/>
  <c r="BX17"/>
  <c r="BY17"/>
  <c r="BZ17"/>
  <c r="CA17"/>
  <c r="CB17"/>
  <c r="CD17"/>
  <c r="CE17"/>
  <c r="CF17"/>
  <c r="CG17"/>
  <c r="CH17"/>
  <c r="CI17"/>
  <c r="CJ17"/>
  <c r="CM17"/>
  <c r="CN17"/>
  <c r="CO17"/>
  <c r="CQ17"/>
  <c r="CS17"/>
  <c r="CT17"/>
  <c r="CU17"/>
  <c r="CV17"/>
  <c r="CW17"/>
  <c r="CY17"/>
  <c r="CZ17"/>
  <c r="DA17"/>
  <c r="DB17"/>
  <c r="DC17"/>
  <c r="DD17"/>
  <c r="DE17"/>
  <c r="DF17"/>
  <c r="DG17"/>
  <c r="DH17"/>
  <c r="DI17"/>
  <c r="DJ17"/>
  <c r="DL17"/>
  <c r="DM17"/>
  <c r="DN17"/>
  <c r="DO17"/>
  <c r="DP17"/>
  <c r="DQ17"/>
  <c r="DS17"/>
  <c r="DT17"/>
  <c r="DU17"/>
  <c r="C18"/>
  <c r="D18"/>
  <c r="D59" s="1"/>
  <c r="E18"/>
  <c r="E59" s="1"/>
  <c r="F18"/>
  <c r="F59" s="1"/>
  <c r="G18"/>
  <c r="G59" s="1"/>
  <c r="H18"/>
  <c r="H59" s="1"/>
  <c r="J18"/>
  <c r="J59" s="1"/>
  <c r="K18"/>
  <c r="K59" s="1"/>
  <c r="O18"/>
  <c r="O59" s="1"/>
  <c r="I18"/>
  <c r="I59" s="1"/>
  <c r="L18"/>
  <c r="L59" s="1"/>
  <c r="P18"/>
  <c r="P59" s="1"/>
  <c r="Q18"/>
  <c r="Q59" s="1"/>
  <c r="R18"/>
  <c r="R59" s="1"/>
  <c r="T18"/>
  <c r="T59" s="1"/>
  <c r="U18"/>
  <c r="U59" s="1"/>
  <c r="W18"/>
  <c r="W59" s="1"/>
  <c r="X18"/>
  <c r="X59" s="1"/>
  <c r="Z18"/>
  <c r="Z59" s="1"/>
  <c r="AA18"/>
  <c r="AA59" s="1"/>
  <c r="AC18"/>
  <c r="AC59" s="1"/>
  <c r="AD18"/>
  <c r="AD59" s="1"/>
  <c r="AG18"/>
  <c r="AG59" s="1"/>
  <c r="AH18"/>
  <c r="AH59" s="1"/>
  <c r="AI18"/>
  <c r="AI59" s="1"/>
  <c r="AJ18"/>
  <c r="AJ59" s="1"/>
  <c r="AL18"/>
  <c r="AL59" s="1"/>
  <c r="AM18"/>
  <c r="AM59" s="1"/>
  <c r="AO18"/>
  <c r="AO59" s="1"/>
  <c r="AP18"/>
  <c r="AP59" s="1"/>
  <c r="AR18"/>
  <c r="AR59" s="1"/>
  <c r="AS18"/>
  <c r="AS59" s="1"/>
  <c r="AT18"/>
  <c r="AT59" s="1"/>
  <c r="AU18"/>
  <c r="AU59" s="1"/>
  <c r="AV18"/>
  <c r="AV59" s="1"/>
  <c r="BA18"/>
  <c r="BA59" s="1"/>
  <c r="BB18"/>
  <c r="BB59" s="1"/>
  <c r="BE18"/>
  <c r="BE59" s="1"/>
  <c r="BF18"/>
  <c r="BF59" s="1"/>
  <c r="BG18"/>
  <c r="BG59" s="1"/>
  <c r="BI18"/>
  <c r="BI59" s="1"/>
  <c r="BP18"/>
  <c r="BP59" s="1"/>
  <c r="BV18"/>
  <c r="BW18"/>
  <c r="BX18"/>
  <c r="BY18"/>
  <c r="BZ18"/>
  <c r="CA18"/>
  <c r="CB18"/>
  <c r="CD18"/>
  <c r="CE18"/>
  <c r="CF18"/>
  <c r="CG18"/>
  <c r="CH18"/>
  <c r="CI18"/>
  <c r="CJ18"/>
  <c r="CM18"/>
  <c r="CN18"/>
  <c r="CO18"/>
  <c r="CQ18"/>
  <c r="CS18"/>
  <c r="CT18"/>
  <c r="CU18"/>
  <c r="CV18"/>
  <c r="CW18"/>
  <c r="CY18"/>
  <c r="CZ18"/>
  <c r="DA18"/>
  <c r="DB18"/>
  <c r="DC18"/>
  <c r="DD18"/>
  <c r="DE18"/>
  <c r="DF18"/>
  <c r="DG18"/>
  <c r="DH18"/>
  <c r="DI18"/>
  <c r="DJ18"/>
  <c r="DL18"/>
  <c r="DM18"/>
  <c r="DN18"/>
  <c r="DO18"/>
  <c r="DP18"/>
  <c r="DQ18"/>
  <c r="DS18"/>
  <c r="DT18"/>
  <c r="DU18"/>
  <c r="C19"/>
  <c r="D19"/>
  <c r="D60" s="1"/>
  <c r="E19"/>
  <c r="E60" s="1"/>
  <c r="F19"/>
  <c r="F60" s="1"/>
  <c r="G19"/>
  <c r="G60" s="1"/>
  <c r="H19"/>
  <c r="H60" s="1"/>
  <c r="J19"/>
  <c r="J60" s="1"/>
  <c r="K19"/>
  <c r="K60" s="1"/>
  <c r="O19"/>
  <c r="O60" s="1"/>
  <c r="I19"/>
  <c r="I60" s="1"/>
  <c r="L19"/>
  <c r="L60" s="1"/>
  <c r="P19"/>
  <c r="P60" s="1"/>
  <c r="Q19"/>
  <c r="Q60" s="1"/>
  <c r="R19"/>
  <c r="R60" s="1"/>
  <c r="T19"/>
  <c r="T60" s="1"/>
  <c r="U19"/>
  <c r="U60" s="1"/>
  <c r="W19"/>
  <c r="W60" s="1"/>
  <c r="X19"/>
  <c r="X60" s="1"/>
  <c r="Z19"/>
  <c r="Z60" s="1"/>
  <c r="AA19"/>
  <c r="AA60" s="1"/>
  <c r="AC19"/>
  <c r="AC60" s="1"/>
  <c r="AD19"/>
  <c r="AD60" s="1"/>
  <c r="AG19"/>
  <c r="AG60" s="1"/>
  <c r="AH19"/>
  <c r="AH60" s="1"/>
  <c r="AI19"/>
  <c r="AI60" s="1"/>
  <c r="AJ19"/>
  <c r="AJ60" s="1"/>
  <c r="AL19"/>
  <c r="AM19"/>
  <c r="AM60" s="1"/>
  <c r="AO19"/>
  <c r="AO60" s="1"/>
  <c r="AP19"/>
  <c r="AP60" s="1"/>
  <c r="AR19"/>
  <c r="AR60" s="1"/>
  <c r="AS19"/>
  <c r="AS60" s="1"/>
  <c r="AT19"/>
  <c r="AT60" s="1"/>
  <c r="AU19"/>
  <c r="AV19"/>
  <c r="AV60" s="1"/>
  <c r="BA19"/>
  <c r="BA60" s="1"/>
  <c r="BB19"/>
  <c r="BB60" s="1"/>
  <c r="BE19"/>
  <c r="BE60" s="1"/>
  <c r="BF19"/>
  <c r="BF60" s="1"/>
  <c r="BG19"/>
  <c r="BG60" s="1"/>
  <c r="BI19"/>
  <c r="BI60" s="1"/>
  <c r="BP19"/>
  <c r="BP60" s="1"/>
  <c r="BV19"/>
  <c r="BV60" s="1"/>
  <c r="BW19"/>
  <c r="BW60" s="1"/>
  <c r="BX19"/>
  <c r="BX60" s="1"/>
  <c r="BY19"/>
  <c r="BY60" s="1"/>
  <c r="BZ19"/>
  <c r="BZ60" s="1"/>
  <c r="CA19"/>
  <c r="CA60" s="1"/>
  <c r="CB19"/>
  <c r="CB60" s="1"/>
  <c r="CD19"/>
  <c r="CD60" s="1"/>
  <c r="CE19"/>
  <c r="CE60" s="1"/>
  <c r="CF19"/>
  <c r="CF60" s="1"/>
  <c r="CG19"/>
  <c r="CG60" s="1"/>
  <c r="CH19"/>
  <c r="CH60" s="1"/>
  <c r="CI19"/>
  <c r="CI60" s="1"/>
  <c r="CJ19"/>
  <c r="CJ60" s="1"/>
  <c r="CM19"/>
  <c r="CM60" s="1"/>
  <c r="CN19"/>
  <c r="CN60" s="1"/>
  <c r="CO19"/>
  <c r="CO60" s="1"/>
  <c r="CQ19"/>
  <c r="CQ60" s="1"/>
  <c r="CS19"/>
  <c r="CS60" s="1"/>
  <c r="CT19"/>
  <c r="CT60" s="1"/>
  <c r="CU19"/>
  <c r="CU60" s="1"/>
  <c r="CV19"/>
  <c r="CV60" s="1"/>
  <c r="CW19"/>
  <c r="CW60" s="1"/>
  <c r="CY19"/>
  <c r="CY60" s="1"/>
  <c r="CZ19"/>
  <c r="CZ60" s="1"/>
  <c r="DA19"/>
  <c r="DA60" s="1"/>
  <c r="DB19"/>
  <c r="DB60" s="1"/>
  <c r="DC19"/>
  <c r="DC60" s="1"/>
  <c r="DD19"/>
  <c r="DD60" s="1"/>
  <c r="DE19"/>
  <c r="DE60" s="1"/>
  <c r="DF19"/>
  <c r="DF60" s="1"/>
  <c r="DG19"/>
  <c r="DG60" s="1"/>
  <c r="DH19"/>
  <c r="DH60" s="1"/>
  <c r="DI19"/>
  <c r="DI60" s="1"/>
  <c r="DJ19"/>
  <c r="DJ60" s="1"/>
  <c r="DL19"/>
  <c r="DL60" s="1"/>
  <c r="DM19"/>
  <c r="DM60" s="1"/>
  <c r="DN19"/>
  <c r="DN60" s="1"/>
  <c r="DO19"/>
  <c r="DO60" s="1"/>
  <c r="DP19"/>
  <c r="DP60" s="1"/>
  <c r="DQ19"/>
  <c r="DQ60" s="1"/>
  <c r="DS19"/>
  <c r="DS60" s="1"/>
  <c r="DT19"/>
  <c r="DT60" s="1"/>
  <c r="DU19"/>
  <c r="DU60" s="1"/>
  <c r="C20"/>
  <c r="D20"/>
  <c r="D61" s="1"/>
  <c r="E20"/>
  <c r="E61" s="1"/>
  <c r="F20"/>
  <c r="F61" s="1"/>
  <c r="G20"/>
  <c r="G61" s="1"/>
  <c r="H20"/>
  <c r="H61" s="1"/>
  <c r="J20"/>
  <c r="J61" s="1"/>
  <c r="K20"/>
  <c r="K61" s="1"/>
  <c r="O20"/>
  <c r="O61" s="1"/>
  <c r="I20"/>
  <c r="I61" s="1"/>
  <c r="L20"/>
  <c r="L61" s="1"/>
  <c r="P20"/>
  <c r="P61" s="1"/>
  <c r="Q20"/>
  <c r="Q61" s="1"/>
  <c r="R20"/>
  <c r="R61" s="1"/>
  <c r="T20"/>
  <c r="T61" s="1"/>
  <c r="U20"/>
  <c r="U61" s="1"/>
  <c r="W20"/>
  <c r="W61" s="1"/>
  <c r="X20"/>
  <c r="X61" s="1"/>
  <c r="Z20"/>
  <c r="Z61" s="1"/>
  <c r="AA20"/>
  <c r="AC20"/>
  <c r="AC61" s="1"/>
  <c r="AD20"/>
  <c r="AG20"/>
  <c r="AG61" s="1"/>
  <c r="AH20"/>
  <c r="AH61" s="1"/>
  <c r="AI20"/>
  <c r="AI61" s="1"/>
  <c r="AJ20"/>
  <c r="AL20"/>
  <c r="AL61" s="1"/>
  <c r="AM20"/>
  <c r="AM61" s="1"/>
  <c r="AQ20"/>
  <c r="AR20"/>
  <c r="AR61" s="1"/>
  <c r="AS20"/>
  <c r="AS61" s="1"/>
  <c r="AT20"/>
  <c r="AT61" s="1"/>
  <c r="AU20"/>
  <c r="AU61" s="1"/>
  <c r="AV20"/>
  <c r="AV61" s="1"/>
  <c r="BA20"/>
  <c r="BA61" s="1"/>
  <c r="BB20"/>
  <c r="BB61" s="1"/>
  <c r="BE20"/>
  <c r="BE61" s="1"/>
  <c r="BF20"/>
  <c r="BF61" s="1"/>
  <c r="BG20"/>
  <c r="BG61" s="1"/>
  <c r="BI20"/>
  <c r="BI61" s="1"/>
  <c r="BP20"/>
  <c r="BP61" s="1"/>
  <c r="BV20"/>
  <c r="BV61" s="1"/>
  <c r="BW20"/>
  <c r="BW61" s="1"/>
  <c r="BX20"/>
  <c r="BX61" s="1"/>
  <c r="BY20"/>
  <c r="BY61" s="1"/>
  <c r="BZ20"/>
  <c r="BZ61" s="1"/>
  <c r="CA20"/>
  <c r="CA61" s="1"/>
  <c r="CB20"/>
  <c r="CB61" s="1"/>
  <c r="CD20"/>
  <c r="CD61" s="1"/>
  <c r="CE20"/>
  <c r="CE61" s="1"/>
  <c r="CF20"/>
  <c r="CF61" s="1"/>
  <c r="CG20"/>
  <c r="CG61" s="1"/>
  <c r="CH20"/>
  <c r="CH61" s="1"/>
  <c r="CI20"/>
  <c r="CI61" s="1"/>
  <c r="CJ20"/>
  <c r="CJ61" s="1"/>
  <c r="CM20"/>
  <c r="CM61" s="1"/>
  <c r="CN20"/>
  <c r="CN61" s="1"/>
  <c r="CO20"/>
  <c r="CO61" s="1"/>
  <c r="CQ20"/>
  <c r="CQ61" s="1"/>
  <c r="CS20"/>
  <c r="CS61" s="1"/>
  <c r="CT20"/>
  <c r="CT61" s="1"/>
  <c r="CU20"/>
  <c r="CU61" s="1"/>
  <c r="CV20"/>
  <c r="CV61" s="1"/>
  <c r="CW20"/>
  <c r="CW61" s="1"/>
  <c r="CY20"/>
  <c r="CY61" s="1"/>
  <c r="CZ20"/>
  <c r="CZ61" s="1"/>
  <c r="DA20"/>
  <c r="DA61" s="1"/>
  <c r="DB20"/>
  <c r="DB61" s="1"/>
  <c r="DC20"/>
  <c r="DC61" s="1"/>
  <c r="DD20"/>
  <c r="DD61" s="1"/>
  <c r="DE20"/>
  <c r="DE61" s="1"/>
  <c r="DF20"/>
  <c r="DF61" s="1"/>
  <c r="DG20"/>
  <c r="DG61" s="1"/>
  <c r="DH20"/>
  <c r="DH61" s="1"/>
  <c r="DI20"/>
  <c r="DI61" s="1"/>
  <c r="DJ20"/>
  <c r="DJ61" s="1"/>
  <c r="DL20"/>
  <c r="DL61" s="1"/>
  <c r="DM20"/>
  <c r="DM61" s="1"/>
  <c r="DN20"/>
  <c r="DN61" s="1"/>
  <c r="DO20"/>
  <c r="DO61" s="1"/>
  <c r="DP20"/>
  <c r="DP61" s="1"/>
  <c r="DQ20"/>
  <c r="DQ61" s="1"/>
  <c r="DS20"/>
  <c r="DS61" s="1"/>
  <c r="DT20"/>
  <c r="DT61" s="1"/>
  <c r="DU20"/>
  <c r="DU61" s="1"/>
  <c r="C21"/>
  <c r="D21"/>
  <c r="D62" s="1"/>
  <c r="E21"/>
  <c r="E62" s="1"/>
  <c r="F21"/>
  <c r="F62" s="1"/>
  <c r="G21"/>
  <c r="G62" s="1"/>
  <c r="H21"/>
  <c r="H62" s="1"/>
  <c r="J21"/>
  <c r="J62" s="1"/>
  <c r="K21"/>
  <c r="K62" s="1"/>
  <c r="O21"/>
  <c r="O62" s="1"/>
  <c r="I21"/>
  <c r="I62" s="1"/>
  <c r="L21"/>
  <c r="L62" s="1"/>
  <c r="P21"/>
  <c r="P62" s="1"/>
  <c r="Q21"/>
  <c r="Q62" s="1"/>
  <c r="R21"/>
  <c r="R62" s="1"/>
  <c r="T21"/>
  <c r="T62" s="1"/>
  <c r="U21"/>
  <c r="U62" s="1"/>
  <c r="W21"/>
  <c r="W62" s="1"/>
  <c r="X21"/>
  <c r="X62" s="1"/>
  <c r="Z21"/>
  <c r="Z62" s="1"/>
  <c r="AA21"/>
  <c r="AC21"/>
  <c r="AC62" s="1"/>
  <c r="AD21"/>
  <c r="AG21"/>
  <c r="AG62" s="1"/>
  <c r="AH21"/>
  <c r="AH62" s="1"/>
  <c r="AI21"/>
  <c r="AI62" s="1"/>
  <c r="AJ21"/>
  <c r="AL21"/>
  <c r="AL62" s="1"/>
  <c r="AM21"/>
  <c r="AM62" s="1"/>
  <c r="AQ21"/>
  <c r="AR21"/>
  <c r="AR62" s="1"/>
  <c r="AS21"/>
  <c r="AS62" s="1"/>
  <c r="AT21"/>
  <c r="AT62" s="1"/>
  <c r="AU21"/>
  <c r="AU62" s="1"/>
  <c r="AV21"/>
  <c r="AV62" s="1"/>
  <c r="BA21"/>
  <c r="BA62" s="1"/>
  <c r="BB21"/>
  <c r="BB62" s="1"/>
  <c r="BE21"/>
  <c r="BE62" s="1"/>
  <c r="BF21"/>
  <c r="BF62" s="1"/>
  <c r="BG21"/>
  <c r="BG62" s="1"/>
  <c r="BI21"/>
  <c r="BI62" s="1"/>
  <c r="BM21"/>
  <c r="BM62" s="1"/>
  <c r="BP21"/>
  <c r="BP62" s="1"/>
  <c r="BV21"/>
  <c r="BV62" s="1"/>
  <c r="BW21"/>
  <c r="BW62" s="1"/>
  <c r="BX21"/>
  <c r="BX62" s="1"/>
  <c r="BY21"/>
  <c r="BY62" s="1"/>
  <c r="BZ21"/>
  <c r="BZ62" s="1"/>
  <c r="CA21"/>
  <c r="CA62" s="1"/>
  <c r="CB21"/>
  <c r="CB62" s="1"/>
  <c r="CD21"/>
  <c r="CD62" s="1"/>
  <c r="CE21"/>
  <c r="CE62" s="1"/>
  <c r="CF21"/>
  <c r="CF62" s="1"/>
  <c r="CG21"/>
  <c r="CG62" s="1"/>
  <c r="CH21"/>
  <c r="CH62" s="1"/>
  <c r="CI21"/>
  <c r="CI62" s="1"/>
  <c r="CJ21"/>
  <c r="CJ62" s="1"/>
  <c r="CM21"/>
  <c r="CM62" s="1"/>
  <c r="CN21"/>
  <c r="CN62" s="1"/>
  <c r="CO21"/>
  <c r="CO62" s="1"/>
  <c r="CQ21"/>
  <c r="CQ62" s="1"/>
  <c r="CS21"/>
  <c r="CS62" s="1"/>
  <c r="CT21"/>
  <c r="CT62" s="1"/>
  <c r="CU21"/>
  <c r="CU62" s="1"/>
  <c r="CV21"/>
  <c r="CV62" s="1"/>
  <c r="CW21"/>
  <c r="CW62" s="1"/>
  <c r="CY21"/>
  <c r="CY62" s="1"/>
  <c r="CZ21"/>
  <c r="CZ62" s="1"/>
  <c r="DA21"/>
  <c r="DA62" s="1"/>
  <c r="DB21"/>
  <c r="DB62" s="1"/>
  <c r="DC21"/>
  <c r="DC62" s="1"/>
  <c r="DD21"/>
  <c r="DD62" s="1"/>
  <c r="DE21"/>
  <c r="DE62" s="1"/>
  <c r="DF21"/>
  <c r="DF62" s="1"/>
  <c r="DG21"/>
  <c r="DG62" s="1"/>
  <c r="DH21"/>
  <c r="DH62" s="1"/>
  <c r="DI21"/>
  <c r="DI62" s="1"/>
  <c r="DJ21"/>
  <c r="DJ62" s="1"/>
  <c r="DL21"/>
  <c r="DL62" s="1"/>
  <c r="DM21"/>
  <c r="DM62" s="1"/>
  <c r="DN21"/>
  <c r="DN62" s="1"/>
  <c r="DO21"/>
  <c r="DO62" s="1"/>
  <c r="DP21"/>
  <c r="DP62" s="1"/>
  <c r="DQ21"/>
  <c r="DQ62" s="1"/>
  <c r="DS21"/>
  <c r="DS62" s="1"/>
  <c r="DT21"/>
  <c r="DT62" s="1"/>
  <c r="DU21"/>
  <c r="DU62" s="1"/>
  <c r="C22"/>
  <c r="D22"/>
  <c r="D63" s="1"/>
  <c r="E22"/>
  <c r="E63" s="1"/>
  <c r="F22"/>
  <c r="F63" s="1"/>
  <c r="G22"/>
  <c r="G63" s="1"/>
  <c r="H22"/>
  <c r="H63" s="1"/>
  <c r="J22"/>
  <c r="J63" s="1"/>
  <c r="K22"/>
  <c r="K63" s="1"/>
  <c r="O22"/>
  <c r="O63" s="1"/>
  <c r="I22"/>
  <c r="I63" s="1"/>
  <c r="L22"/>
  <c r="L63" s="1"/>
  <c r="P22"/>
  <c r="P63" s="1"/>
  <c r="Q22"/>
  <c r="Q63" s="1"/>
  <c r="R22"/>
  <c r="R63" s="1"/>
  <c r="T22"/>
  <c r="T63" s="1"/>
  <c r="U22"/>
  <c r="U63" s="1"/>
  <c r="W22"/>
  <c r="W63" s="1"/>
  <c r="X22"/>
  <c r="X63" s="1"/>
  <c r="Z22"/>
  <c r="Z63" s="1"/>
  <c r="AA22"/>
  <c r="AC22"/>
  <c r="AC63" s="1"/>
  <c r="AD22"/>
  <c r="AG22"/>
  <c r="AG63" s="1"/>
  <c r="AH22"/>
  <c r="AH63" s="1"/>
  <c r="AI22"/>
  <c r="AI63" s="1"/>
  <c r="AJ22"/>
  <c r="AL22"/>
  <c r="AL63" s="1"/>
  <c r="AM22"/>
  <c r="AM63" s="1"/>
  <c r="AQ22"/>
  <c r="AR22"/>
  <c r="AR63" s="1"/>
  <c r="AS22"/>
  <c r="AS63" s="1"/>
  <c r="AT22"/>
  <c r="AT63" s="1"/>
  <c r="AU22"/>
  <c r="AU63" s="1"/>
  <c r="AV22"/>
  <c r="AV63" s="1"/>
  <c r="BA22"/>
  <c r="BA63" s="1"/>
  <c r="BB22"/>
  <c r="BB63" s="1"/>
  <c r="BE22"/>
  <c r="BE63" s="1"/>
  <c r="BF22"/>
  <c r="BF63" s="1"/>
  <c r="BG22"/>
  <c r="BG63" s="1"/>
  <c r="BI22"/>
  <c r="BI63" s="1"/>
  <c r="BM22"/>
  <c r="BM63" s="1"/>
  <c r="BP22"/>
  <c r="BP63" s="1"/>
  <c r="BV22"/>
  <c r="BV63" s="1"/>
  <c r="BW22"/>
  <c r="BW63" s="1"/>
  <c r="BX22"/>
  <c r="BX63" s="1"/>
  <c r="BY22"/>
  <c r="BY63" s="1"/>
  <c r="BZ22"/>
  <c r="BZ63" s="1"/>
  <c r="CA22"/>
  <c r="CA63" s="1"/>
  <c r="CB22"/>
  <c r="CB63" s="1"/>
  <c r="CD22"/>
  <c r="CD63" s="1"/>
  <c r="CE22"/>
  <c r="CE63" s="1"/>
  <c r="CF22"/>
  <c r="CF63" s="1"/>
  <c r="CG22"/>
  <c r="CG63" s="1"/>
  <c r="CH22"/>
  <c r="CH63" s="1"/>
  <c r="CI22"/>
  <c r="CI63" s="1"/>
  <c r="CJ22"/>
  <c r="CJ63" s="1"/>
  <c r="CM22"/>
  <c r="CM63" s="1"/>
  <c r="CN22"/>
  <c r="CN63" s="1"/>
  <c r="CO22"/>
  <c r="CO63" s="1"/>
  <c r="CQ22"/>
  <c r="CQ63" s="1"/>
  <c r="CS22"/>
  <c r="CS63" s="1"/>
  <c r="CT22"/>
  <c r="CT63" s="1"/>
  <c r="CU22"/>
  <c r="CU63" s="1"/>
  <c r="CV22"/>
  <c r="CV63" s="1"/>
  <c r="CW22"/>
  <c r="CW63" s="1"/>
  <c r="CY22"/>
  <c r="CY63" s="1"/>
  <c r="CZ22"/>
  <c r="CZ63" s="1"/>
  <c r="DA22"/>
  <c r="DA63" s="1"/>
  <c r="DB22"/>
  <c r="DB63" s="1"/>
  <c r="DC22"/>
  <c r="DC63" s="1"/>
  <c r="DD22"/>
  <c r="DD63" s="1"/>
  <c r="DE22"/>
  <c r="DE63" s="1"/>
  <c r="DF22"/>
  <c r="DF63" s="1"/>
  <c r="DG22"/>
  <c r="DG63" s="1"/>
  <c r="DH22"/>
  <c r="DH63" s="1"/>
  <c r="DI22"/>
  <c r="DI63" s="1"/>
  <c r="DJ22"/>
  <c r="DJ63" s="1"/>
  <c r="DL22"/>
  <c r="DL63" s="1"/>
  <c r="DM22"/>
  <c r="DM63" s="1"/>
  <c r="DN22"/>
  <c r="DN63" s="1"/>
  <c r="DO22"/>
  <c r="DO63" s="1"/>
  <c r="DP22"/>
  <c r="DP63" s="1"/>
  <c r="DQ22"/>
  <c r="DQ63" s="1"/>
  <c r="DS22"/>
  <c r="DS63" s="1"/>
  <c r="DT22"/>
  <c r="DT63" s="1"/>
  <c r="DU22"/>
  <c r="DU63" s="1"/>
  <c r="C23"/>
  <c r="D23"/>
  <c r="D64" s="1"/>
  <c r="E23"/>
  <c r="E64" s="1"/>
  <c r="F23"/>
  <c r="F64" s="1"/>
  <c r="G23"/>
  <c r="G64" s="1"/>
  <c r="H23"/>
  <c r="H64" s="1"/>
  <c r="J23"/>
  <c r="J64" s="1"/>
  <c r="K23"/>
  <c r="K64" s="1"/>
  <c r="O23"/>
  <c r="O64" s="1"/>
  <c r="I23"/>
  <c r="I64" s="1"/>
  <c r="L23"/>
  <c r="L64" s="1"/>
  <c r="P23"/>
  <c r="P64" s="1"/>
  <c r="Q23"/>
  <c r="Q64" s="1"/>
  <c r="R23"/>
  <c r="R64" s="1"/>
  <c r="T23"/>
  <c r="T64" s="1"/>
  <c r="U23"/>
  <c r="U64" s="1"/>
  <c r="W23"/>
  <c r="W64" s="1"/>
  <c r="X23"/>
  <c r="X64" s="1"/>
  <c r="Z23"/>
  <c r="Z64" s="1"/>
  <c r="AA23"/>
  <c r="AC23"/>
  <c r="AC64" s="1"/>
  <c r="AD23"/>
  <c r="AG23"/>
  <c r="AG64" s="1"/>
  <c r="AH23"/>
  <c r="AH64" s="1"/>
  <c r="AI23"/>
  <c r="AI64" s="1"/>
  <c r="AJ23"/>
  <c r="AL23"/>
  <c r="AL64" s="1"/>
  <c r="AM23"/>
  <c r="AM64" s="1"/>
  <c r="AQ23"/>
  <c r="AR23"/>
  <c r="AR64" s="1"/>
  <c r="AS23"/>
  <c r="AS64" s="1"/>
  <c r="AT23"/>
  <c r="AT64" s="1"/>
  <c r="AU23"/>
  <c r="AU64" s="1"/>
  <c r="AV23"/>
  <c r="AV64" s="1"/>
  <c r="BA23"/>
  <c r="BA64" s="1"/>
  <c r="BB23"/>
  <c r="BB64" s="1"/>
  <c r="BE23"/>
  <c r="BE64" s="1"/>
  <c r="BF23"/>
  <c r="BF64" s="1"/>
  <c r="BG23"/>
  <c r="BG64" s="1"/>
  <c r="BI23"/>
  <c r="BI64" s="1"/>
  <c r="BM23"/>
  <c r="BM64" s="1"/>
  <c r="BP23"/>
  <c r="BP64" s="1"/>
  <c r="BV23"/>
  <c r="BV64" s="1"/>
  <c r="BW23"/>
  <c r="BW64" s="1"/>
  <c r="BX23"/>
  <c r="BX64" s="1"/>
  <c r="BY23"/>
  <c r="BY64" s="1"/>
  <c r="BZ23"/>
  <c r="BZ64" s="1"/>
  <c r="CA23"/>
  <c r="CA64" s="1"/>
  <c r="CB23"/>
  <c r="CB64" s="1"/>
  <c r="CD23"/>
  <c r="CD64" s="1"/>
  <c r="CE23"/>
  <c r="CE64" s="1"/>
  <c r="CF23"/>
  <c r="CF64" s="1"/>
  <c r="CG23"/>
  <c r="CG64" s="1"/>
  <c r="CH23"/>
  <c r="CH64" s="1"/>
  <c r="CI23"/>
  <c r="CI64" s="1"/>
  <c r="CJ23"/>
  <c r="CJ64" s="1"/>
  <c r="CM23"/>
  <c r="CM64" s="1"/>
  <c r="CN23"/>
  <c r="CN64" s="1"/>
  <c r="CO23"/>
  <c r="CO64" s="1"/>
  <c r="CQ23"/>
  <c r="CQ64" s="1"/>
  <c r="CS23"/>
  <c r="CS64" s="1"/>
  <c r="CT23"/>
  <c r="CT64" s="1"/>
  <c r="CU23"/>
  <c r="CU64" s="1"/>
  <c r="CV23"/>
  <c r="CV64" s="1"/>
  <c r="CW23"/>
  <c r="CW64" s="1"/>
  <c r="CY23"/>
  <c r="CY64" s="1"/>
  <c r="CZ23"/>
  <c r="CZ64" s="1"/>
  <c r="DA23"/>
  <c r="DA64" s="1"/>
  <c r="DB23"/>
  <c r="DB64" s="1"/>
  <c r="DC23"/>
  <c r="DC64" s="1"/>
  <c r="DD23"/>
  <c r="DD64" s="1"/>
  <c r="DE23"/>
  <c r="DE64" s="1"/>
  <c r="DF23"/>
  <c r="DF64" s="1"/>
  <c r="DG23"/>
  <c r="DG64" s="1"/>
  <c r="DH23"/>
  <c r="DH64" s="1"/>
  <c r="DI23"/>
  <c r="DI64" s="1"/>
  <c r="DJ23"/>
  <c r="DJ64" s="1"/>
  <c r="DL23"/>
  <c r="DL64" s="1"/>
  <c r="DM23"/>
  <c r="DM64" s="1"/>
  <c r="DN23"/>
  <c r="DN64" s="1"/>
  <c r="DO23"/>
  <c r="DO64" s="1"/>
  <c r="DP23"/>
  <c r="DP64" s="1"/>
  <c r="DQ23"/>
  <c r="DQ64" s="1"/>
  <c r="DS23"/>
  <c r="DS64" s="1"/>
  <c r="DT23"/>
  <c r="DT64" s="1"/>
  <c r="DU23"/>
  <c r="DU64" s="1"/>
  <c r="C24"/>
  <c r="D24"/>
  <c r="D65" s="1"/>
  <c r="E24"/>
  <c r="E65" s="1"/>
  <c r="F24"/>
  <c r="F65" s="1"/>
  <c r="G24"/>
  <c r="G65" s="1"/>
  <c r="H24"/>
  <c r="H65" s="1"/>
  <c r="J24"/>
  <c r="J65" s="1"/>
  <c r="K24"/>
  <c r="K65" s="1"/>
  <c r="O24"/>
  <c r="O65" s="1"/>
  <c r="I24"/>
  <c r="I65" s="1"/>
  <c r="L24"/>
  <c r="L65" s="1"/>
  <c r="P24"/>
  <c r="P65" s="1"/>
  <c r="Q24"/>
  <c r="Q65" s="1"/>
  <c r="R24"/>
  <c r="R65" s="1"/>
  <c r="T24"/>
  <c r="T65" s="1"/>
  <c r="U24"/>
  <c r="U65" s="1"/>
  <c r="W24"/>
  <c r="W65" s="1"/>
  <c r="X24"/>
  <c r="X65" s="1"/>
  <c r="Z24"/>
  <c r="Z65" s="1"/>
  <c r="AA24"/>
  <c r="AC24"/>
  <c r="AC65" s="1"/>
  <c r="AD24"/>
  <c r="AG24"/>
  <c r="AG65" s="1"/>
  <c r="AH24"/>
  <c r="AH65" s="1"/>
  <c r="AI24"/>
  <c r="AI65" s="1"/>
  <c r="AJ24"/>
  <c r="AL24"/>
  <c r="AL65" s="1"/>
  <c r="AM24"/>
  <c r="AM65" s="1"/>
  <c r="AQ24"/>
  <c r="AR24"/>
  <c r="AR65" s="1"/>
  <c r="AS24"/>
  <c r="AS65" s="1"/>
  <c r="AT24"/>
  <c r="AT65" s="1"/>
  <c r="AU24"/>
  <c r="AU65" s="1"/>
  <c r="AV24"/>
  <c r="AV65" s="1"/>
  <c r="BA24"/>
  <c r="BA65" s="1"/>
  <c r="BB24"/>
  <c r="BB65" s="1"/>
  <c r="BE24"/>
  <c r="BF24"/>
  <c r="BG24"/>
  <c r="BI24"/>
  <c r="BI65" s="1"/>
  <c r="BM24"/>
  <c r="BM65" s="1"/>
  <c r="BP24"/>
  <c r="BP65" s="1"/>
  <c r="BV24"/>
  <c r="BV65" s="1"/>
  <c r="BW24"/>
  <c r="BW65" s="1"/>
  <c r="BX24"/>
  <c r="BX65" s="1"/>
  <c r="BY24"/>
  <c r="BY65" s="1"/>
  <c r="BZ24"/>
  <c r="BZ65" s="1"/>
  <c r="CA24"/>
  <c r="CA65" s="1"/>
  <c r="CB24"/>
  <c r="CB65" s="1"/>
  <c r="CD24"/>
  <c r="CD65" s="1"/>
  <c r="CE24"/>
  <c r="CE65" s="1"/>
  <c r="CF24"/>
  <c r="CF65" s="1"/>
  <c r="CG24"/>
  <c r="CG65" s="1"/>
  <c r="CH24"/>
  <c r="CH65" s="1"/>
  <c r="CI24"/>
  <c r="CI65" s="1"/>
  <c r="CJ24"/>
  <c r="CJ65" s="1"/>
  <c r="CM24"/>
  <c r="CM65" s="1"/>
  <c r="CN24"/>
  <c r="CN65" s="1"/>
  <c r="CO24"/>
  <c r="CO65" s="1"/>
  <c r="CQ24"/>
  <c r="CQ65" s="1"/>
  <c r="CS24"/>
  <c r="CS65" s="1"/>
  <c r="CT24"/>
  <c r="CT65" s="1"/>
  <c r="CU24"/>
  <c r="CU65" s="1"/>
  <c r="CV24"/>
  <c r="CV65" s="1"/>
  <c r="CW24"/>
  <c r="CW65" s="1"/>
  <c r="CY24"/>
  <c r="CY65" s="1"/>
  <c r="CZ24"/>
  <c r="CZ65" s="1"/>
  <c r="DA24"/>
  <c r="DA65" s="1"/>
  <c r="DB24"/>
  <c r="DB65" s="1"/>
  <c r="DC24"/>
  <c r="DC65" s="1"/>
  <c r="DD24"/>
  <c r="DD65" s="1"/>
  <c r="DE24"/>
  <c r="DE65" s="1"/>
  <c r="DF24"/>
  <c r="DF65" s="1"/>
  <c r="DG24"/>
  <c r="DG65" s="1"/>
  <c r="DH24"/>
  <c r="DH65" s="1"/>
  <c r="DI24"/>
  <c r="DI65" s="1"/>
  <c r="DJ24"/>
  <c r="DJ65" s="1"/>
  <c r="DL24"/>
  <c r="DL65" s="1"/>
  <c r="DM24"/>
  <c r="DM65" s="1"/>
  <c r="DN24"/>
  <c r="DN65" s="1"/>
  <c r="DO24"/>
  <c r="DO65" s="1"/>
  <c r="DP24"/>
  <c r="DP65" s="1"/>
  <c r="DQ24"/>
  <c r="DQ65" s="1"/>
  <c r="DS24"/>
  <c r="DS65" s="1"/>
  <c r="DT24"/>
  <c r="DT65" s="1"/>
  <c r="DU24"/>
  <c r="DU65" s="1"/>
  <c r="C25"/>
  <c r="D25"/>
  <c r="D66" s="1"/>
  <c r="E25"/>
  <c r="E66" s="1"/>
  <c r="F25"/>
  <c r="F66" s="1"/>
  <c r="G25"/>
  <c r="G66" s="1"/>
  <c r="H25"/>
  <c r="H66" s="1"/>
  <c r="J25"/>
  <c r="J66" s="1"/>
  <c r="K25"/>
  <c r="K66" s="1"/>
  <c r="O25"/>
  <c r="O66" s="1"/>
  <c r="I25"/>
  <c r="I66" s="1"/>
  <c r="L25"/>
  <c r="L66" s="1"/>
  <c r="P25"/>
  <c r="P66" s="1"/>
  <c r="Q25"/>
  <c r="Q66" s="1"/>
  <c r="R25"/>
  <c r="R66" s="1"/>
  <c r="T25"/>
  <c r="T66" s="1"/>
  <c r="U25"/>
  <c r="U66" s="1"/>
  <c r="W25"/>
  <c r="W66" s="1"/>
  <c r="X25"/>
  <c r="X66" s="1"/>
  <c r="Z25"/>
  <c r="Z66" s="1"/>
  <c r="AA25"/>
  <c r="AC25"/>
  <c r="AC66" s="1"/>
  <c r="AD25"/>
  <c r="AG25"/>
  <c r="AG66" s="1"/>
  <c r="AH25"/>
  <c r="AH66" s="1"/>
  <c r="AI25"/>
  <c r="AI66" s="1"/>
  <c r="AJ25"/>
  <c r="AL25"/>
  <c r="AL66" s="1"/>
  <c r="AM25"/>
  <c r="AM66" s="1"/>
  <c r="AQ25"/>
  <c r="AR25"/>
  <c r="AR66" s="1"/>
  <c r="AS25"/>
  <c r="AS66" s="1"/>
  <c r="AT25"/>
  <c r="AT66" s="1"/>
  <c r="AU25"/>
  <c r="AU66" s="1"/>
  <c r="AV25"/>
  <c r="AV66" s="1"/>
  <c r="BA25"/>
  <c r="BA66" s="1"/>
  <c r="BB25"/>
  <c r="BB66" s="1"/>
  <c r="BE25"/>
  <c r="BE66" s="1"/>
  <c r="BF25"/>
  <c r="BG25"/>
  <c r="BI25"/>
  <c r="BI66" s="1"/>
  <c r="BM25"/>
  <c r="BM66" s="1"/>
  <c r="BP25"/>
  <c r="BP66" s="1"/>
  <c r="BV25"/>
  <c r="BV66" s="1"/>
  <c r="BW25"/>
  <c r="BW66" s="1"/>
  <c r="BX25"/>
  <c r="BX66" s="1"/>
  <c r="BY25"/>
  <c r="BY66" s="1"/>
  <c r="BZ25"/>
  <c r="BZ66" s="1"/>
  <c r="CA25"/>
  <c r="CA66" s="1"/>
  <c r="CB25"/>
  <c r="CB66" s="1"/>
  <c r="CD25"/>
  <c r="CD66" s="1"/>
  <c r="CE25"/>
  <c r="CE66" s="1"/>
  <c r="CF25"/>
  <c r="CF66" s="1"/>
  <c r="CG25"/>
  <c r="CG66" s="1"/>
  <c r="CH25"/>
  <c r="CH66" s="1"/>
  <c r="CI25"/>
  <c r="CI66" s="1"/>
  <c r="CJ25"/>
  <c r="CJ66" s="1"/>
  <c r="CM25"/>
  <c r="CM66" s="1"/>
  <c r="CN25"/>
  <c r="CN66" s="1"/>
  <c r="CO25"/>
  <c r="CO66" s="1"/>
  <c r="CQ25"/>
  <c r="CQ66" s="1"/>
  <c r="CS25"/>
  <c r="CS66" s="1"/>
  <c r="CT25"/>
  <c r="CT66" s="1"/>
  <c r="CU25"/>
  <c r="CU66" s="1"/>
  <c r="CV25"/>
  <c r="CV66" s="1"/>
  <c r="CW25"/>
  <c r="CW66" s="1"/>
  <c r="CY25"/>
  <c r="CY66" s="1"/>
  <c r="CZ25"/>
  <c r="CZ66" s="1"/>
  <c r="DA25"/>
  <c r="DA66" s="1"/>
  <c r="DB25"/>
  <c r="DB66" s="1"/>
  <c r="DC25"/>
  <c r="DC66" s="1"/>
  <c r="DD25"/>
  <c r="DD66" s="1"/>
  <c r="DE25"/>
  <c r="DE66" s="1"/>
  <c r="DF25"/>
  <c r="DF66" s="1"/>
  <c r="DG25"/>
  <c r="DG66" s="1"/>
  <c r="DH25"/>
  <c r="DH66" s="1"/>
  <c r="DI25"/>
  <c r="DI66" s="1"/>
  <c r="DJ25"/>
  <c r="DL25"/>
  <c r="DM25"/>
  <c r="DN25"/>
  <c r="DO25"/>
  <c r="DP25"/>
  <c r="DQ25"/>
  <c r="DS25"/>
  <c r="DS66" s="1"/>
  <c r="DT25"/>
  <c r="DT66" s="1"/>
  <c r="DU25"/>
  <c r="C26"/>
  <c r="D26"/>
  <c r="D67" s="1"/>
  <c r="E26"/>
  <c r="F26"/>
  <c r="F67" s="1"/>
  <c r="G26"/>
  <c r="H26"/>
  <c r="H67" s="1"/>
  <c r="J26"/>
  <c r="J67" s="1"/>
  <c r="K26"/>
  <c r="K67" s="1"/>
  <c r="O26"/>
  <c r="O67" s="1"/>
  <c r="I26"/>
  <c r="I67" s="1"/>
  <c r="L26"/>
  <c r="L67" s="1"/>
  <c r="P26"/>
  <c r="P67" s="1"/>
  <c r="Q26"/>
  <c r="R26"/>
  <c r="R67" s="1"/>
  <c r="T26"/>
  <c r="T67" s="1"/>
  <c r="U26"/>
  <c r="U67" s="1"/>
  <c r="W26"/>
  <c r="W67" s="1"/>
  <c r="X26"/>
  <c r="X67" s="1"/>
  <c r="Z26"/>
  <c r="Z67" s="1"/>
  <c r="AA26"/>
  <c r="AC26"/>
  <c r="AC67" s="1"/>
  <c r="AD26"/>
  <c r="AG26"/>
  <c r="AG67" s="1"/>
  <c r="AH26"/>
  <c r="AH67" s="1"/>
  <c r="AI26"/>
  <c r="AI67" s="1"/>
  <c r="AJ26"/>
  <c r="AL26"/>
  <c r="AL67" s="1"/>
  <c r="AM26"/>
  <c r="AM67" s="1"/>
  <c r="AQ26"/>
  <c r="AR26"/>
  <c r="AR67" s="1"/>
  <c r="AS26"/>
  <c r="AS67" s="1"/>
  <c r="AT26"/>
  <c r="AT67" s="1"/>
  <c r="AU26"/>
  <c r="AU67" s="1"/>
  <c r="AV26"/>
  <c r="AV67" s="1"/>
  <c r="BA26"/>
  <c r="BA67" s="1"/>
  <c r="BB26"/>
  <c r="BB67" s="1"/>
  <c r="BE26"/>
  <c r="BF26"/>
  <c r="BG26"/>
  <c r="BG67" s="1"/>
  <c r="BI26"/>
  <c r="BI67" s="1"/>
  <c r="BM26"/>
  <c r="BM67" s="1"/>
  <c r="BP26"/>
  <c r="BP67" s="1"/>
  <c r="BV26"/>
  <c r="BV67" s="1"/>
  <c r="BW26"/>
  <c r="BW67" s="1"/>
  <c r="BX26"/>
  <c r="BX67" s="1"/>
  <c r="BY26"/>
  <c r="BY67" s="1"/>
  <c r="BZ26"/>
  <c r="BZ67" s="1"/>
  <c r="CA26"/>
  <c r="CA67" s="1"/>
  <c r="CB26"/>
  <c r="CB67" s="1"/>
  <c r="CD26"/>
  <c r="CD67" s="1"/>
  <c r="CE26"/>
  <c r="CE67" s="1"/>
  <c r="CF26"/>
  <c r="CF67" s="1"/>
  <c r="CG26"/>
  <c r="CG67" s="1"/>
  <c r="CH26"/>
  <c r="CH67" s="1"/>
  <c r="CI26"/>
  <c r="CI67" s="1"/>
  <c r="CJ26"/>
  <c r="CJ67" s="1"/>
  <c r="CM26"/>
  <c r="CM67" s="1"/>
  <c r="CN26"/>
  <c r="CN67" s="1"/>
  <c r="CO26"/>
  <c r="CO67" s="1"/>
  <c r="CQ26"/>
  <c r="CQ67" s="1"/>
  <c r="CS26"/>
  <c r="CS67" s="1"/>
  <c r="CT26"/>
  <c r="CT67" s="1"/>
  <c r="CU26"/>
  <c r="CU67" s="1"/>
  <c r="CV26"/>
  <c r="CV67" s="1"/>
  <c r="CW26"/>
  <c r="CW67" s="1"/>
  <c r="CY26"/>
  <c r="CY67" s="1"/>
  <c r="CZ26"/>
  <c r="CZ67" s="1"/>
  <c r="DA26"/>
  <c r="DA67" s="1"/>
  <c r="DB26"/>
  <c r="DB67" s="1"/>
  <c r="DC26"/>
  <c r="DC67" s="1"/>
  <c r="DD26"/>
  <c r="DD67" s="1"/>
  <c r="DE26"/>
  <c r="DE67" s="1"/>
  <c r="DF26"/>
  <c r="DF67" s="1"/>
  <c r="DG26"/>
  <c r="DG67" s="1"/>
  <c r="DH26"/>
  <c r="DH67" s="1"/>
  <c r="DI26"/>
  <c r="DI67" s="1"/>
  <c r="DJ26"/>
  <c r="DJ67" s="1"/>
  <c r="DL26"/>
  <c r="DL67" s="1"/>
  <c r="DM26"/>
  <c r="DM67" s="1"/>
  <c r="DN26"/>
  <c r="DN67" s="1"/>
  <c r="DO26"/>
  <c r="DO67" s="1"/>
  <c r="DP26"/>
  <c r="DP67" s="1"/>
  <c r="DQ26"/>
  <c r="DQ67" s="1"/>
  <c r="DS26"/>
  <c r="DS67" s="1"/>
  <c r="DT26"/>
  <c r="DT67" s="1"/>
  <c r="DU26"/>
  <c r="DU67" s="1"/>
  <c r="C27"/>
  <c r="D27"/>
  <c r="D68" s="1"/>
  <c r="E27"/>
  <c r="E68" s="1"/>
  <c r="F27"/>
  <c r="F68" s="1"/>
  <c r="G27"/>
  <c r="G68" s="1"/>
  <c r="H27"/>
  <c r="H68" s="1"/>
  <c r="J27"/>
  <c r="J68" s="1"/>
  <c r="K27"/>
  <c r="K68" s="1"/>
  <c r="O27"/>
  <c r="O68" s="1"/>
  <c r="I27"/>
  <c r="I68" s="1"/>
  <c r="L27"/>
  <c r="L68" s="1"/>
  <c r="P27"/>
  <c r="P68" s="1"/>
  <c r="Q27"/>
  <c r="Q68" s="1"/>
  <c r="R27"/>
  <c r="R68" s="1"/>
  <c r="T27"/>
  <c r="T68" s="1"/>
  <c r="U27"/>
  <c r="U68" s="1"/>
  <c r="W27"/>
  <c r="W68" s="1"/>
  <c r="X27"/>
  <c r="X68" s="1"/>
  <c r="Z27"/>
  <c r="Z68" s="1"/>
  <c r="AA27"/>
  <c r="AC27"/>
  <c r="AC68" s="1"/>
  <c r="AD27"/>
  <c r="AG27"/>
  <c r="AG68" s="1"/>
  <c r="AH27"/>
  <c r="AH68" s="1"/>
  <c r="AI27"/>
  <c r="AI68" s="1"/>
  <c r="AJ27"/>
  <c r="AL27"/>
  <c r="AL68" s="1"/>
  <c r="AM27"/>
  <c r="AM68" s="1"/>
  <c r="AQ27"/>
  <c r="AR27"/>
  <c r="AR68" s="1"/>
  <c r="AS27"/>
  <c r="AS68" s="1"/>
  <c r="AT27"/>
  <c r="AT68" s="1"/>
  <c r="AU27"/>
  <c r="AU68" s="1"/>
  <c r="AV27"/>
  <c r="AV68" s="1"/>
  <c r="BA27"/>
  <c r="BA68" s="1"/>
  <c r="BB27"/>
  <c r="BB68" s="1"/>
  <c r="BE27"/>
  <c r="BF27"/>
  <c r="BF68" s="1"/>
  <c r="BG27"/>
  <c r="BI27"/>
  <c r="BI68" s="1"/>
  <c r="BM27"/>
  <c r="BM68" s="1"/>
  <c r="BP27"/>
  <c r="BP68" s="1"/>
  <c r="BV27"/>
  <c r="BV68" s="1"/>
  <c r="BW27"/>
  <c r="BW68" s="1"/>
  <c r="BX27"/>
  <c r="BX68" s="1"/>
  <c r="BY27"/>
  <c r="BY68" s="1"/>
  <c r="BZ27"/>
  <c r="BZ68" s="1"/>
  <c r="CA27"/>
  <c r="CA68" s="1"/>
  <c r="CB27"/>
  <c r="CB68" s="1"/>
  <c r="CD27"/>
  <c r="CD68" s="1"/>
  <c r="CE27"/>
  <c r="CE68" s="1"/>
  <c r="CF27"/>
  <c r="CF68" s="1"/>
  <c r="CG27"/>
  <c r="CG68" s="1"/>
  <c r="CH27"/>
  <c r="CH68" s="1"/>
  <c r="CI27"/>
  <c r="CI68" s="1"/>
  <c r="CJ27"/>
  <c r="CJ68" s="1"/>
  <c r="CM27"/>
  <c r="CM68" s="1"/>
  <c r="CN27"/>
  <c r="CN68" s="1"/>
  <c r="CO27"/>
  <c r="CO68" s="1"/>
  <c r="CQ27"/>
  <c r="CQ68" s="1"/>
  <c r="CS27"/>
  <c r="CS68" s="1"/>
  <c r="CT27"/>
  <c r="CT68" s="1"/>
  <c r="CU27"/>
  <c r="CU68" s="1"/>
  <c r="CV27"/>
  <c r="CV68" s="1"/>
  <c r="CW27"/>
  <c r="CW68" s="1"/>
  <c r="CY27"/>
  <c r="CY68" s="1"/>
  <c r="CZ27"/>
  <c r="CZ68" s="1"/>
  <c r="DA27"/>
  <c r="DA68" s="1"/>
  <c r="DB27"/>
  <c r="DB68" s="1"/>
  <c r="DC27"/>
  <c r="DC68" s="1"/>
  <c r="DD27"/>
  <c r="DD68" s="1"/>
  <c r="DE27"/>
  <c r="DE68" s="1"/>
  <c r="DF27"/>
  <c r="DF68" s="1"/>
  <c r="DG27"/>
  <c r="DG68" s="1"/>
  <c r="DH27"/>
  <c r="DH68" s="1"/>
  <c r="DI27"/>
  <c r="DI68" s="1"/>
  <c r="DJ27"/>
  <c r="DJ68" s="1"/>
  <c r="DL27"/>
  <c r="DL68" s="1"/>
  <c r="DM27"/>
  <c r="DM68" s="1"/>
  <c r="DN27"/>
  <c r="DN68" s="1"/>
  <c r="DO27"/>
  <c r="DO68" s="1"/>
  <c r="DP27"/>
  <c r="DP68" s="1"/>
  <c r="DQ27"/>
  <c r="DQ68" s="1"/>
  <c r="DS27"/>
  <c r="DS68" s="1"/>
  <c r="DT27"/>
  <c r="DT68" s="1"/>
  <c r="DU27"/>
  <c r="DU68" s="1"/>
  <c r="C28"/>
  <c r="D28"/>
  <c r="D69" s="1"/>
  <c r="E28"/>
  <c r="E69" s="1"/>
  <c r="F28"/>
  <c r="F69" s="1"/>
  <c r="G28"/>
  <c r="G69" s="1"/>
  <c r="H28"/>
  <c r="H69" s="1"/>
  <c r="J28"/>
  <c r="J69" s="1"/>
  <c r="K28"/>
  <c r="K69" s="1"/>
  <c r="O28"/>
  <c r="O69" s="1"/>
  <c r="I28"/>
  <c r="I69" s="1"/>
  <c r="L28"/>
  <c r="L69" s="1"/>
  <c r="P28"/>
  <c r="P69" s="1"/>
  <c r="Q28"/>
  <c r="Q69" s="1"/>
  <c r="R28"/>
  <c r="R69" s="1"/>
  <c r="T28"/>
  <c r="T69" s="1"/>
  <c r="U28"/>
  <c r="U69" s="1"/>
  <c r="W28"/>
  <c r="W69" s="1"/>
  <c r="X28"/>
  <c r="X69" s="1"/>
  <c r="Z28"/>
  <c r="Z69" s="1"/>
  <c r="AA28"/>
  <c r="AC28"/>
  <c r="AC69" s="1"/>
  <c r="AD28"/>
  <c r="AG28"/>
  <c r="AG69" s="1"/>
  <c r="AH28"/>
  <c r="AH69" s="1"/>
  <c r="AI28"/>
  <c r="AI69" s="1"/>
  <c r="AJ28"/>
  <c r="AL28"/>
  <c r="AL69" s="1"/>
  <c r="AM28"/>
  <c r="AM69" s="1"/>
  <c r="AQ28"/>
  <c r="AR28"/>
  <c r="AS28"/>
  <c r="AT28"/>
  <c r="AU28"/>
  <c r="AV28"/>
  <c r="BA28"/>
  <c r="BA69" s="1"/>
  <c r="BB28"/>
  <c r="BB69" s="1"/>
  <c r="BE28"/>
  <c r="BF28"/>
  <c r="BG28"/>
  <c r="BI28"/>
  <c r="BI69" s="1"/>
  <c r="BM28"/>
  <c r="BP28"/>
  <c r="BP69" s="1"/>
  <c r="BV28"/>
  <c r="BV69" s="1"/>
  <c r="BW28"/>
  <c r="BW69" s="1"/>
  <c r="BX28"/>
  <c r="BX69" s="1"/>
  <c r="BY28"/>
  <c r="BY69" s="1"/>
  <c r="BZ28"/>
  <c r="BZ69" s="1"/>
  <c r="CA28"/>
  <c r="CA69" s="1"/>
  <c r="CB28"/>
  <c r="CB69" s="1"/>
  <c r="CD28"/>
  <c r="CD69" s="1"/>
  <c r="CE28"/>
  <c r="CE69" s="1"/>
  <c r="CF28"/>
  <c r="CF69" s="1"/>
  <c r="CG28"/>
  <c r="CG69" s="1"/>
  <c r="CH28"/>
  <c r="CH69" s="1"/>
  <c r="CI28"/>
  <c r="CI69" s="1"/>
  <c r="CJ28"/>
  <c r="CJ69" s="1"/>
  <c r="CM28"/>
  <c r="CM69" s="1"/>
  <c r="CN28"/>
  <c r="CN69" s="1"/>
  <c r="CO28"/>
  <c r="CO69" s="1"/>
  <c r="CQ28"/>
  <c r="CQ69" s="1"/>
  <c r="CS28"/>
  <c r="CS69" s="1"/>
  <c r="CT28"/>
  <c r="CT69" s="1"/>
  <c r="CU28"/>
  <c r="CU69" s="1"/>
  <c r="CV28"/>
  <c r="CV69" s="1"/>
  <c r="CW28"/>
  <c r="CW69" s="1"/>
  <c r="CY28"/>
  <c r="CY69" s="1"/>
  <c r="CZ28"/>
  <c r="CZ69" s="1"/>
  <c r="DA28"/>
  <c r="DA69" s="1"/>
  <c r="DB28"/>
  <c r="DB69" s="1"/>
  <c r="DC28"/>
  <c r="DC69" s="1"/>
  <c r="DD28"/>
  <c r="DD69" s="1"/>
  <c r="DE28"/>
  <c r="DE69" s="1"/>
  <c r="DF28"/>
  <c r="DF69" s="1"/>
  <c r="DG28"/>
  <c r="DG69" s="1"/>
  <c r="DH28"/>
  <c r="DH69" s="1"/>
  <c r="DI28"/>
  <c r="DI69" s="1"/>
  <c r="DJ28"/>
  <c r="DJ69" s="1"/>
  <c r="DL28"/>
  <c r="DL69" s="1"/>
  <c r="DM28"/>
  <c r="DM69" s="1"/>
  <c r="DN28"/>
  <c r="DN69" s="1"/>
  <c r="DO28"/>
  <c r="DO69" s="1"/>
  <c r="DP28"/>
  <c r="DP69" s="1"/>
  <c r="DQ28"/>
  <c r="DQ69" s="1"/>
  <c r="DS28"/>
  <c r="DS69" s="1"/>
  <c r="DT28"/>
  <c r="DT69" s="1"/>
  <c r="DU28"/>
  <c r="DU69" s="1"/>
  <c r="BO46"/>
  <c r="BP46"/>
  <c r="BA47"/>
  <c r="BO47"/>
  <c r="BP47"/>
  <c r="BA48"/>
  <c r="BO48"/>
  <c r="BP48"/>
  <c r="BO49"/>
  <c r="BP49"/>
  <c r="BO50"/>
  <c r="BP50"/>
  <c r="BO51"/>
  <c r="BP51"/>
  <c r="BO52"/>
  <c r="BP52"/>
  <c r="BO54"/>
  <c r="BO55"/>
  <c r="BO56"/>
  <c r="BO57"/>
  <c r="AU58"/>
  <c r="BO58"/>
  <c r="BO59"/>
  <c r="BO60"/>
  <c r="AQ61"/>
  <c r="BO61"/>
  <c r="AQ62"/>
  <c r="BO62"/>
  <c r="AQ63"/>
  <c r="BO63"/>
  <c r="AQ64"/>
  <c r="BO64"/>
  <c r="AQ65"/>
  <c r="BO65"/>
  <c r="AQ66"/>
  <c r="AQ67"/>
  <c r="AQ68"/>
  <c r="AN72"/>
  <c r="AN73"/>
  <c r="AN74"/>
  <c r="AN75"/>
  <c r="AN76"/>
  <c r="AN77"/>
  <c r="C85"/>
  <c r="D85"/>
  <c r="E85"/>
  <c r="F85"/>
  <c r="G85"/>
  <c r="H85"/>
  <c r="J85"/>
  <c r="K85"/>
  <c r="I85"/>
  <c r="L85"/>
  <c r="P85"/>
  <c r="Q85"/>
  <c r="R85"/>
  <c r="T85"/>
  <c r="U85"/>
  <c r="W85"/>
  <c r="X85"/>
  <c r="Z85"/>
  <c r="AA85"/>
  <c r="AC85"/>
  <c r="AD85"/>
  <c r="AG85"/>
  <c r="AH85"/>
  <c r="AI85"/>
  <c r="AJ85"/>
  <c r="AL85"/>
  <c r="AM85"/>
  <c r="AO85"/>
  <c r="AP85"/>
  <c r="AR85"/>
  <c r="AS85"/>
  <c r="AT85"/>
  <c r="AU85"/>
  <c r="AV85"/>
  <c r="BA85"/>
  <c r="BB85"/>
  <c r="BC85"/>
  <c r="BE85"/>
  <c r="BF85"/>
  <c r="BG85"/>
  <c r="BI85"/>
  <c r="BM85"/>
  <c r="BO85"/>
  <c r="BP85"/>
  <c r="BV85"/>
  <c r="BW85"/>
  <c r="BX85"/>
  <c r="BY85"/>
  <c r="BZ85"/>
  <c r="CA85"/>
  <c r="CB85"/>
  <c r="CD85"/>
  <c r="CE85"/>
  <c r="CF85"/>
  <c r="CG85"/>
  <c r="CH85"/>
  <c r="CI85"/>
  <c r="CJ85"/>
  <c r="CM85"/>
  <c r="CN85"/>
  <c r="CO85"/>
  <c r="CQ85"/>
  <c r="CS85"/>
  <c r="CT85"/>
  <c r="CU85"/>
  <c r="CV85"/>
  <c r="CW85"/>
  <c r="CY85"/>
  <c r="CZ85"/>
  <c r="DA85"/>
  <c r="DB85"/>
  <c r="DC85"/>
  <c r="DD85"/>
  <c r="DE85"/>
  <c r="DF85"/>
  <c r="DG85"/>
  <c r="DH85"/>
  <c r="DI85"/>
  <c r="DJ85"/>
  <c r="DL85"/>
  <c r="DM85"/>
  <c r="DN85"/>
  <c r="DO85"/>
  <c r="DP85"/>
  <c r="DQ85"/>
  <c r="DS85"/>
  <c r="DT85"/>
  <c r="DU85"/>
  <c r="C86"/>
  <c r="D86"/>
  <c r="E86"/>
  <c r="F86"/>
  <c r="G86"/>
  <c r="H86"/>
  <c r="J86"/>
  <c r="K86"/>
  <c r="I86"/>
  <c r="L86"/>
  <c r="P86"/>
  <c r="Q86"/>
  <c r="R86"/>
  <c r="T86"/>
  <c r="U86"/>
  <c r="W86"/>
  <c r="X86"/>
  <c r="Z86"/>
  <c r="AA86"/>
  <c r="AC86"/>
  <c r="AD86"/>
  <c r="AG86"/>
  <c r="AH86"/>
  <c r="AI86"/>
  <c r="AJ86"/>
  <c r="AL86"/>
  <c r="AM86"/>
  <c r="AO86"/>
  <c r="AP86"/>
  <c r="AR86"/>
  <c r="AS86"/>
  <c r="AT86"/>
  <c r="AU86"/>
  <c r="AV86"/>
  <c r="BA86"/>
  <c r="BB86"/>
  <c r="BC86"/>
  <c r="BE86"/>
  <c r="BF86"/>
  <c r="BG86"/>
  <c r="BI86"/>
  <c r="BO86"/>
  <c r="BP86"/>
  <c r="BV86"/>
  <c r="BW86"/>
  <c r="BX86"/>
  <c r="BY86"/>
  <c r="BZ86"/>
  <c r="CA86"/>
  <c r="CB86"/>
  <c r="CD86"/>
  <c r="CE86"/>
  <c r="CF86"/>
  <c r="CG86"/>
  <c r="CH86"/>
  <c r="CI86"/>
  <c r="CJ86"/>
  <c r="CM86"/>
  <c r="CN86"/>
  <c r="CO86"/>
  <c r="CQ86"/>
  <c r="CS86"/>
  <c r="CT86"/>
  <c r="CU86"/>
  <c r="CV86"/>
  <c r="CW86"/>
  <c r="CY86"/>
  <c r="CZ86"/>
  <c r="DA86"/>
  <c r="DB86"/>
  <c r="DC86"/>
  <c r="DD86"/>
  <c r="DE86"/>
  <c r="DF86"/>
  <c r="DG86"/>
  <c r="DH86"/>
  <c r="DI86"/>
  <c r="DJ86"/>
  <c r="DL86"/>
  <c r="DM86"/>
  <c r="DN86"/>
  <c r="DO86"/>
  <c r="DP86"/>
  <c r="DQ86"/>
  <c r="DS86"/>
  <c r="DT86"/>
  <c r="DU86"/>
  <c r="C87"/>
  <c r="D87"/>
  <c r="E87"/>
  <c r="F87"/>
  <c r="G87"/>
  <c r="H87"/>
  <c r="J87"/>
  <c r="K87"/>
  <c r="I87"/>
  <c r="L87"/>
  <c r="P87"/>
  <c r="Q87"/>
  <c r="R87"/>
  <c r="T87"/>
  <c r="U87"/>
  <c r="W87"/>
  <c r="X87"/>
  <c r="Z87"/>
  <c r="AA87"/>
  <c r="AC87"/>
  <c r="AD87"/>
  <c r="AG87"/>
  <c r="AH87"/>
  <c r="AI87"/>
  <c r="AJ87"/>
  <c r="AL87"/>
  <c r="AM87"/>
  <c r="AO87"/>
  <c r="AP87"/>
  <c r="AR87"/>
  <c r="AS87"/>
  <c r="AT87"/>
  <c r="AU87"/>
  <c r="AV87"/>
  <c r="BA87"/>
  <c r="BB87"/>
  <c r="BC87"/>
  <c r="BE87"/>
  <c r="BF87"/>
  <c r="BG87"/>
  <c r="BI87"/>
  <c r="BO87"/>
  <c r="BP87"/>
  <c r="BV87"/>
  <c r="BW87"/>
  <c r="BX87"/>
  <c r="BY87"/>
  <c r="BZ87"/>
  <c r="CA87"/>
  <c r="CB87"/>
  <c r="CD87"/>
  <c r="CE87"/>
  <c r="CF87"/>
  <c r="CG87"/>
  <c r="CH87"/>
  <c r="CI87"/>
  <c r="CJ87"/>
  <c r="CM87"/>
  <c r="CN87"/>
  <c r="CO87"/>
  <c r="CQ87"/>
  <c r="CS87"/>
  <c r="CT87"/>
  <c r="CU87"/>
  <c r="CV87"/>
  <c r="CW87"/>
  <c r="CY87"/>
  <c r="CZ87"/>
  <c r="DA87"/>
  <c r="DB87"/>
  <c r="DC87"/>
  <c r="DD87"/>
  <c r="DE87"/>
  <c r="DF87"/>
  <c r="DG87"/>
  <c r="DH87"/>
  <c r="DI87"/>
  <c r="DJ87"/>
  <c r="DL87"/>
  <c r="DM87"/>
  <c r="DN87"/>
  <c r="DO87"/>
  <c r="DP87"/>
  <c r="DQ87"/>
  <c r="DS87"/>
  <c r="DT87"/>
  <c r="DU87"/>
  <c r="C88"/>
  <c r="D88"/>
  <c r="E88"/>
  <c r="F88"/>
  <c r="G88"/>
  <c r="H88"/>
  <c r="J88"/>
  <c r="K88"/>
  <c r="I88"/>
  <c r="L88"/>
  <c r="P88"/>
  <c r="Q88"/>
  <c r="R88"/>
  <c r="T88"/>
  <c r="U88"/>
  <c r="W88"/>
  <c r="X88"/>
  <c r="Z88"/>
  <c r="AA88"/>
  <c r="AC88"/>
  <c r="AD88"/>
  <c r="AG88"/>
  <c r="AH88"/>
  <c r="AI88"/>
  <c r="AJ88"/>
  <c r="AL88"/>
  <c r="AM88"/>
  <c r="AO88"/>
  <c r="AP88"/>
  <c r="AR88"/>
  <c r="AS88"/>
  <c r="AT88"/>
  <c r="AU88"/>
  <c r="AV88"/>
  <c r="BA88"/>
  <c r="BB88"/>
  <c r="BC88"/>
  <c r="BE88"/>
  <c r="BF88"/>
  <c r="BG88"/>
  <c r="BI88"/>
  <c r="BO88"/>
  <c r="BP88"/>
  <c r="BV88"/>
  <c r="BW88"/>
  <c r="BX88"/>
  <c r="BY88"/>
  <c r="BZ88"/>
  <c r="CA88"/>
  <c r="CB88"/>
  <c r="CD88"/>
  <c r="CE88"/>
  <c r="CF88"/>
  <c r="CG88"/>
  <c r="CH88"/>
  <c r="CI88"/>
  <c r="CJ88"/>
  <c r="CM88"/>
  <c r="CN88"/>
  <c r="CO88"/>
  <c r="CQ88"/>
  <c r="CS88"/>
  <c r="CT88"/>
  <c r="CU88"/>
  <c r="CV88"/>
  <c r="CW88"/>
  <c r="CY88"/>
  <c r="CZ88"/>
  <c r="DA88"/>
  <c r="DB88"/>
  <c r="DC88"/>
  <c r="DD88"/>
  <c r="DE88"/>
  <c r="DF88"/>
  <c r="DG88"/>
  <c r="DH88"/>
  <c r="DI88"/>
  <c r="DJ88"/>
  <c r="DL88"/>
  <c r="DM88"/>
  <c r="DN88"/>
  <c r="DO88"/>
  <c r="DP88"/>
  <c r="DQ88"/>
  <c r="DS88"/>
  <c r="DT88"/>
  <c r="DU88"/>
  <c r="C89"/>
  <c r="D89"/>
  <c r="E89"/>
  <c r="F89"/>
  <c r="G89"/>
  <c r="H89"/>
  <c r="J89"/>
  <c r="K89"/>
  <c r="I89"/>
  <c r="L89"/>
  <c r="P89"/>
  <c r="Q89"/>
  <c r="R89"/>
  <c r="T89"/>
  <c r="U89"/>
  <c r="W89"/>
  <c r="X89"/>
  <c r="Z89"/>
  <c r="AA89"/>
  <c r="AC89"/>
  <c r="AD89"/>
  <c r="AG89"/>
  <c r="AH89"/>
  <c r="AI89"/>
  <c r="AJ89"/>
  <c r="AL89"/>
  <c r="AM89"/>
  <c r="AO89"/>
  <c r="AP89"/>
  <c r="AR89"/>
  <c r="AS89"/>
  <c r="AT89"/>
  <c r="AU89"/>
  <c r="AV89"/>
  <c r="BA89"/>
  <c r="BB89"/>
  <c r="BC89"/>
  <c r="BE89"/>
  <c r="BF89"/>
  <c r="BG89"/>
  <c r="BI89"/>
  <c r="BO89"/>
  <c r="BP89"/>
  <c r="BV89"/>
  <c r="BW89"/>
  <c r="BX89"/>
  <c r="BY89"/>
  <c r="BZ89"/>
  <c r="CA89"/>
  <c r="CB89"/>
  <c r="CD89"/>
  <c r="CE89"/>
  <c r="CF89"/>
  <c r="CG89"/>
  <c r="CH89"/>
  <c r="CI89"/>
  <c r="CJ89"/>
  <c r="CM89"/>
  <c r="CN89"/>
  <c r="CO89"/>
  <c r="CQ89"/>
  <c r="CS89"/>
  <c r="CT89"/>
  <c r="CU89"/>
  <c r="CV89"/>
  <c r="CW89"/>
  <c r="CY89"/>
  <c r="CZ89"/>
  <c r="DA89"/>
  <c r="DB89"/>
  <c r="DC89"/>
  <c r="DD89"/>
  <c r="DE89"/>
  <c r="DF89"/>
  <c r="DG89"/>
  <c r="DH89"/>
  <c r="DI89"/>
  <c r="DJ89"/>
  <c r="DL89"/>
  <c r="DM89"/>
  <c r="DN89"/>
  <c r="DO89"/>
  <c r="DP89"/>
  <c r="DQ89"/>
  <c r="DS89"/>
  <c r="DT89"/>
  <c r="DU89"/>
  <c r="C90"/>
  <c r="D90"/>
  <c r="E90"/>
  <c r="F90"/>
  <c r="G90"/>
  <c r="H90"/>
  <c r="J90"/>
  <c r="K90"/>
  <c r="I90"/>
  <c r="L90"/>
  <c r="P90"/>
  <c r="Q90"/>
  <c r="R90"/>
  <c r="T90"/>
  <c r="U90"/>
  <c r="W90"/>
  <c r="X90"/>
  <c r="Z90"/>
  <c r="AA90"/>
  <c r="AC90"/>
  <c r="AD90"/>
  <c r="AG90"/>
  <c r="AH90"/>
  <c r="AI90"/>
  <c r="AJ90"/>
  <c r="AL90"/>
  <c r="AM90"/>
  <c r="AO90"/>
  <c r="AP90"/>
  <c r="AR90"/>
  <c r="AS90"/>
  <c r="AT90"/>
  <c r="AU90"/>
  <c r="AV90"/>
  <c r="BA90"/>
  <c r="BB90"/>
  <c r="BC90"/>
  <c r="BE90"/>
  <c r="BF90"/>
  <c r="BG90"/>
  <c r="BI90"/>
  <c r="BO90"/>
  <c r="BP90"/>
  <c r="BV90"/>
  <c r="BW90"/>
  <c r="BX90"/>
  <c r="BY90"/>
  <c r="BZ90"/>
  <c r="CA90"/>
  <c r="CB90"/>
  <c r="CD90"/>
  <c r="CE90"/>
  <c r="CF90"/>
  <c r="CG90"/>
  <c r="CH90"/>
  <c r="CI90"/>
  <c r="CJ90"/>
  <c r="CM90"/>
  <c r="CN90"/>
  <c r="CO90"/>
  <c r="CQ90"/>
  <c r="CS90"/>
  <c r="CT90"/>
  <c r="CU90"/>
  <c r="CV90"/>
  <c r="CW90"/>
  <c r="CY90"/>
  <c r="CZ90"/>
  <c r="DA90"/>
  <c r="DB90"/>
  <c r="DC90"/>
  <c r="DD90"/>
  <c r="DE90"/>
  <c r="DF90"/>
  <c r="DG90"/>
  <c r="DH90"/>
  <c r="DI90"/>
  <c r="DJ90"/>
  <c r="DL90"/>
  <c r="DM90"/>
  <c r="DN90"/>
  <c r="DO90"/>
  <c r="DP90"/>
  <c r="DQ90"/>
  <c r="DS90"/>
  <c r="DT90"/>
  <c r="DU90"/>
  <c r="C91"/>
  <c r="D91"/>
  <c r="E91"/>
  <c r="F91"/>
  <c r="G91"/>
  <c r="H91"/>
  <c r="J91"/>
  <c r="K91"/>
  <c r="I91"/>
  <c r="L91"/>
  <c r="P91"/>
  <c r="Q91"/>
  <c r="R91"/>
  <c r="T91"/>
  <c r="U91"/>
  <c r="W91"/>
  <c r="X91"/>
  <c r="Z91"/>
  <c r="AA91"/>
  <c r="AC91"/>
  <c r="AD91"/>
  <c r="AG91"/>
  <c r="AH91"/>
  <c r="AI91"/>
  <c r="AJ91"/>
  <c r="AL91"/>
  <c r="AM91"/>
  <c r="AO91"/>
  <c r="AP91"/>
  <c r="AR91"/>
  <c r="AS91"/>
  <c r="AT91"/>
  <c r="AU91"/>
  <c r="AV91"/>
  <c r="BA91"/>
  <c r="BB91"/>
  <c r="BC91"/>
  <c r="BE91"/>
  <c r="BF91"/>
  <c r="BG91"/>
  <c r="BI91"/>
  <c r="BO91"/>
  <c r="BP91"/>
  <c r="BV91"/>
  <c r="BW91"/>
  <c r="BX91"/>
  <c r="BY91"/>
  <c r="BZ91"/>
  <c r="CA91"/>
  <c r="CB91"/>
  <c r="CD91"/>
  <c r="CE91"/>
  <c r="CF91"/>
  <c r="CG91"/>
  <c r="CH91"/>
  <c r="CI91"/>
  <c r="CJ91"/>
  <c r="CM91"/>
  <c r="CN91"/>
  <c r="CO91"/>
  <c r="CQ91"/>
  <c r="CS91"/>
  <c r="CT91"/>
  <c r="CU91"/>
  <c r="CV91"/>
  <c r="CW91"/>
  <c r="CY91"/>
  <c r="CZ91"/>
  <c r="DA91"/>
  <c r="DB91"/>
  <c r="DC91"/>
  <c r="DD91"/>
  <c r="DE91"/>
  <c r="DF91"/>
  <c r="DG91"/>
  <c r="DH91"/>
  <c r="DI91"/>
  <c r="DJ91"/>
  <c r="DL91"/>
  <c r="DM91"/>
  <c r="DN91"/>
  <c r="DO91"/>
  <c r="DP91"/>
  <c r="DQ91"/>
  <c r="DS91"/>
  <c r="DT91"/>
  <c r="DU91"/>
  <c r="C92"/>
  <c r="D92"/>
  <c r="E92"/>
  <c r="F92"/>
  <c r="G92"/>
  <c r="H92"/>
  <c r="J92"/>
  <c r="K92"/>
  <c r="I92"/>
  <c r="L92"/>
  <c r="P92"/>
  <c r="Q92"/>
  <c r="R92"/>
  <c r="T92"/>
  <c r="U92"/>
  <c r="W92"/>
  <c r="X92"/>
  <c r="Z92"/>
  <c r="AA92"/>
  <c r="AC92"/>
  <c r="AD92"/>
  <c r="AG92"/>
  <c r="AH92"/>
  <c r="AI92"/>
  <c r="AJ92"/>
  <c r="AM92"/>
  <c r="AO92"/>
  <c r="AP92"/>
  <c r="AR92"/>
  <c r="AS92"/>
  <c r="AT92"/>
  <c r="AU92"/>
  <c r="AV92"/>
  <c r="BA92"/>
  <c r="BB92"/>
  <c r="BC92"/>
  <c r="BE92"/>
  <c r="BF92"/>
  <c r="BG92"/>
  <c r="BI92"/>
  <c r="BM92"/>
  <c r="BO92"/>
  <c r="BP92"/>
  <c r="BV92"/>
  <c r="BW92"/>
  <c r="BX92"/>
  <c r="BY92"/>
  <c r="BZ92"/>
  <c r="CA92"/>
  <c r="CB92"/>
  <c r="CD92"/>
  <c r="CE92"/>
  <c r="CF92"/>
  <c r="CG92"/>
  <c r="CH92"/>
  <c r="CI92"/>
  <c r="CJ92"/>
  <c r="CM92"/>
  <c r="CN92"/>
  <c r="CO92"/>
  <c r="CQ92"/>
  <c r="CS92"/>
  <c r="CT92"/>
  <c r="CU92"/>
  <c r="CV92"/>
  <c r="CW92"/>
  <c r="CY92"/>
  <c r="CZ92"/>
  <c r="DA92"/>
  <c r="DB92"/>
  <c r="DC92"/>
  <c r="DD92"/>
  <c r="DE92"/>
  <c r="DF92"/>
  <c r="DG92"/>
  <c r="DH92"/>
  <c r="DI92"/>
  <c r="DJ92"/>
  <c r="DL92"/>
  <c r="DM92"/>
  <c r="DN92"/>
  <c r="DO92"/>
  <c r="DP92"/>
  <c r="DQ92"/>
  <c r="DS92"/>
  <c r="DT92"/>
  <c r="DU92"/>
  <c r="C93"/>
  <c r="D93"/>
  <c r="E93"/>
  <c r="F93"/>
  <c r="G93"/>
  <c r="H93"/>
  <c r="J93"/>
  <c r="K93"/>
  <c r="I93"/>
  <c r="L93"/>
  <c r="P93"/>
  <c r="Q93"/>
  <c r="R93"/>
  <c r="T93"/>
  <c r="U93"/>
  <c r="W93"/>
  <c r="X93"/>
  <c r="Z93"/>
  <c r="AA93"/>
  <c r="AC93"/>
  <c r="AD93"/>
  <c r="AG93"/>
  <c r="AH93"/>
  <c r="AI93"/>
  <c r="AJ93"/>
  <c r="AL93"/>
  <c r="AM93"/>
  <c r="AO93"/>
  <c r="AP93"/>
  <c r="AR93"/>
  <c r="AS93"/>
  <c r="AT93"/>
  <c r="AU93"/>
  <c r="AV93"/>
  <c r="BA93"/>
  <c r="BB93"/>
  <c r="BC93"/>
  <c r="BE93"/>
  <c r="BF93"/>
  <c r="BG93"/>
  <c r="BI93"/>
  <c r="BM93"/>
  <c r="BO93"/>
  <c r="BP93"/>
  <c r="BV93"/>
  <c r="BW93"/>
  <c r="BX93"/>
  <c r="BY93"/>
  <c r="BZ93"/>
  <c r="CA93"/>
  <c r="CB93"/>
  <c r="CD93"/>
  <c r="CE93"/>
  <c r="CF93"/>
  <c r="CG93"/>
  <c r="CH93"/>
  <c r="CI93"/>
  <c r="CJ93"/>
  <c r="CM93"/>
  <c r="CN93"/>
  <c r="CO93"/>
  <c r="CQ93"/>
  <c r="CS93"/>
  <c r="CT93"/>
  <c r="CU93"/>
  <c r="CV93"/>
  <c r="CW93"/>
  <c r="CY93"/>
  <c r="CZ93"/>
  <c r="DA93"/>
  <c r="DB93"/>
  <c r="DC93"/>
  <c r="DD93"/>
  <c r="DE93"/>
  <c r="DF93"/>
  <c r="DG93"/>
  <c r="DH93"/>
  <c r="DI93"/>
  <c r="DJ93"/>
  <c r="DL93"/>
  <c r="DM93"/>
  <c r="DN93"/>
  <c r="DO93"/>
  <c r="DP93"/>
  <c r="DQ93"/>
  <c r="DS93"/>
  <c r="DT93"/>
  <c r="DU93"/>
  <c r="C94"/>
  <c r="D94"/>
  <c r="E94"/>
  <c r="F94"/>
  <c r="G94"/>
  <c r="H94"/>
  <c r="J94"/>
  <c r="K94"/>
  <c r="I94"/>
  <c r="L94"/>
  <c r="P94"/>
  <c r="Q94"/>
  <c r="R94"/>
  <c r="T94"/>
  <c r="U94"/>
  <c r="W94"/>
  <c r="X94"/>
  <c r="Z94"/>
  <c r="AA94"/>
  <c r="AC94"/>
  <c r="AD94"/>
  <c r="AG94"/>
  <c r="AH94"/>
  <c r="AI94"/>
  <c r="AJ94"/>
  <c r="AL94"/>
  <c r="AM94"/>
  <c r="AO94"/>
  <c r="AP94"/>
  <c r="AR94"/>
  <c r="AS94"/>
  <c r="AT94"/>
  <c r="AU94"/>
  <c r="AV94"/>
  <c r="BA94"/>
  <c r="BB94"/>
  <c r="BC94"/>
  <c r="BE94"/>
  <c r="BF94"/>
  <c r="BG94"/>
  <c r="BI94"/>
  <c r="BM94"/>
  <c r="BO94"/>
  <c r="BP94"/>
  <c r="BV94"/>
  <c r="BW94"/>
  <c r="BX94"/>
  <c r="BY94"/>
  <c r="BZ94"/>
  <c r="CA94"/>
  <c r="CB94"/>
  <c r="CD94"/>
  <c r="CE94"/>
  <c r="CF94"/>
  <c r="CG94"/>
  <c r="CH94"/>
  <c r="CI94"/>
  <c r="CJ94"/>
  <c r="CM94"/>
  <c r="CN94"/>
  <c r="CO94"/>
  <c r="CQ94"/>
  <c r="CS94"/>
  <c r="CT94"/>
  <c r="CU94"/>
  <c r="CV94"/>
  <c r="CW94"/>
  <c r="CY94"/>
  <c r="CZ94"/>
  <c r="DA94"/>
  <c r="DB94"/>
  <c r="DC94"/>
  <c r="DD94"/>
  <c r="DE94"/>
  <c r="DF94"/>
  <c r="DG94"/>
  <c r="DH94"/>
  <c r="DI94"/>
  <c r="DJ94"/>
  <c r="DL94"/>
  <c r="DM94"/>
  <c r="DN94"/>
  <c r="DO94"/>
  <c r="DP94"/>
  <c r="DQ94"/>
  <c r="DS94"/>
  <c r="DT94"/>
  <c r="DU94"/>
  <c r="C95"/>
  <c r="D95"/>
  <c r="E95"/>
  <c r="F95"/>
  <c r="G95"/>
  <c r="H95"/>
  <c r="J95"/>
  <c r="K95"/>
  <c r="I95"/>
  <c r="L95"/>
  <c r="P95"/>
  <c r="Q95"/>
  <c r="R95"/>
  <c r="T95"/>
  <c r="U95"/>
  <c r="W95"/>
  <c r="X95"/>
  <c r="Z95"/>
  <c r="AA95"/>
  <c r="AC95"/>
  <c r="AD95"/>
  <c r="AG95"/>
  <c r="AH95"/>
  <c r="AI95"/>
  <c r="AJ95"/>
  <c r="AL95"/>
  <c r="AM95"/>
  <c r="AO95"/>
  <c r="AP95"/>
  <c r="AR95"/>
  <c r="AS95"/>
  <c r="AT95"/>
  <c r="AU95"/>
  <c r="AV95"/>
  <c r="BA95"/>
  <c r="BB95"/>
  <c r="BC95"/>
  <c r="BE95"/>
  <c r="BF95"/>
  <c r="BG95"/>
  <c r="BI95"/>
  <c r="BM95"/>
  <c r="BO95"/>
  <c r="BP95"/>
  <c r="BV95"/>
  <c r="BW95"/>
  <c r="BX95"/>
  <c r="BY95"/>
  <c r="BZ95"/>
  <c r="CA95"/>
  <c r="CB95"/>
  <c r="CD95"/>
  <c r="CE95"/>
  <c r="CF95"/>
  <c r="CG95"/>
  <c r="CH95"/>
  <c r="CI95"/>
  <c r="CJ95"/>
  <c r="CM95"/>
  <c r="CN95"/>
  <c r="CO95"/>
  <c r="CQ95"/>
  <c r="CS95"/>
  <c r="CT95"/>
  <c r="CU95"/>
  <c r="CV95"/>
  <c r="CW95"/>
  <c r="CY95"/>
  <c r="CZ95"/>
  <c r="DA95"/>
  <c r="DB95"/>
  <c r="DC95"/>
  <c r="DD95"/>
  <c r="DE95"/>
  <c r="DF95"/>
  <c r="DG95"/>
  <c r="DH95"/>
  <c r="DI95"/>
  <c r="DJ95"/>
  <c r="DL95"/>
  <c r="DM95"/>
  <c r="DN95"/>
  <c r="DO95"/>
  <c r="DP95"/>
  <c r="DQ95"/>
  <c r="DS95"/>
  <c r="DT95"/>
  <c r="DU95"/>
  <c r="C96"/>
  <c r="D96"/>
  <c r="E96"/>
  <c r="F96"/>
  <c r="G96"/>
  <c r="H96"/>
  <c r="J96"/>
  <c r="K96"/>
  <c r="I96"/>
  <c r="L96"/>
  <c r="P96"/>
  <c r="Q96"/>
  <c r="R96"/>
  <c r="T96"/>
  <c r="U96"/>
  <c r="W96"/>
  <c r="X96"/>
  <c r="Z96"/>
  <c r="AA96"/>
  <c r="AC96"/>
  <c r="AD96"/>
  <c r="AG96"/>
  <c r="AH96"/>
  <c r="AI96"/>
  <c r="AJ96"/>
  <c r="AL96"/>
  <c r="AM96"/>
  <c r="AO96"/>
  <c r="AP96"/>
  <c r="AR96"/>
  <c r="AS96"/>
  <c r="AT96"/>
  <c r="AU96"/>
  <c r="AV96"/>
  <c r="BA96"/>
  <c r="BB96"/>
  <c r="BC96"/>
  <c r="BE96"/>
  <c r="BF96"/>
  <c r="BG96"/>
  <c r="BI96"/>
  <c r="BM96"/>
  <c r="BO96"/>
  <c r="BP96"/>
  <c r="BV96"/>
  <c r="BW96"/>
  <c r="BX96"/>
  <c r="BY96"/>
  <c r="BZ96"/>
  <c r="CA96"/>
  <c r="CB96"/>
  <c r="CD96"/>
  <c r="CE96"/>
  <c r="CF96"/>
  <c r="CG96"/>
  <c r="CH96"/>
  <c r="CI96"/>
  <c r="CJ96"/>
  <c r="CM96"/>
  <c r="CN96"/>
  <c r="CO96"/>
  <c r="CQ96"/>
  <c r="CS96"/>
  <c r="CT96"/>
  <c r="CU96"/>
  <c r="CV96"/>
  <c r="CW96"/>
  <c r="CY96"/>
  <c r="CZ96"/>
  <c r="DA96"/>
  <c r="DB96"/>
  <c r="DC96"/>
  <c r="DD96"/>
  <c r="DE96"/>
  <c r="DF96"/>
  <c r="DG96"/>
  <c r="DH96"/>
  <c r="DI96"/>
  <c r="DJ96"/>
  <c r="DL96"/>
  <c r="DM96"/>
  <c r="DN96"/>
  <c r="DO96"/>
  <c r="DP96"/>
  <c r="DQ96"/>
  <c r="DS96"/>
  <c r="DT96"/>
  <c r="DU96"/>
  <c r="C97"/>
  <c r="D97"/>
  <c r="E97"/>
  <c r="F97"/>
  <c r="G97"/>
  <c r="H97"/>
  <c r="J97"/>
  <c r="K97"/>
  <c r="I97"/>
  <c r="L97"/>
  <c r="P97"/>
  <c r="Q97"/>
  <c r="R97"/>
  <c r="T97"/>
  <c r="U97"/>
  <c r="W97"/>
  <c r="X97"/>
  <c r="Z97"/>
  <c r="AA97"/>
  <c r="AC97"/>
  <c r="AD97"/>
  <c r="AG97"/>
  <c r="AH97"/>
  <c r="AI97"/>
  <c r="AJ97"/>
  <c r="AL97"/>
  <c r="AM97"/>
  <c r="AO97"/>
  <c r="AP97"/>
  <c r="AR97"/>
  <c r="AS97"/>
  <c r="AT97"/>
  <c r="AU97"/>
  <c r="AV97"/>
  <c r="BA97"/>
  <c r="BB97"/>
  <c r="BC97"/>
  <c r="BE97"/>
  <c r="BF97"/>
  <c r="BG97"/>
  <c r="BI97"/>
  <c r="BO97"/>
  <c r="BP97"/>
  <c r="BV97"/>
  <c r="BW97"/>
  <c r="BX97"/>
  <c r="BY97"/>
  <c r="BZ97"/>
  <c r="CA97"/>
  <c r="CB97"/>
  <c r="CD97"/>
  <c r="CE97"/>
  <c r="CF97"/>
  <c r="CG97"/>
  <c r="CH97"/>
  <c r="CI97"/>
  <c r="CJ97"/>
  <c r="CM97"/>
  <c r="CN97"/>
  <c r="CO97"/>
  <c r="CQ97"/>
  <c r="CS97"/>
  <c r="CT97"/>
  <c r="CU97"/>
  <c r="CV97"/>
  <c r="CW97"/>
  <c r="CY97"/>
  <c r="CZ97"/>
  <c r="DA97"/>
  <c r="DB97"/>
  <c r="DC97"/>
  <c r="DD97"/>
  <c r="DE97"/>
  <c r="DF97"/>
  <c r="DG97"/>
  <c r="DH97"/>
  <c r="DI97"/>
  <c r="DJ97"/>
  <c r="DL97"/>
  <c r="DM97"/>
  <c r="DN97"/>
  <c r="DO97"/>
  <c r="DP97"/>
  <c r="DQ97"/>
  <c r="DS97"/>
  <c r="DT97"/>
  <c r="DU97"/>
  <c r="C98"/>
  <c r="D98"/>
  <c r="E98"/>
  <c r="F98"/>
  <c r="G98"/>
  <c r="H98"/>
  <c r="J98"/>
  <c r="K98"/>
  <c r="I98"/>
  <c r="L98"/>
  <c r="P98"/>
  <c r="Q98"/>
  <c r="R98"/>
  <c r="T98"/>
  <c r="U98"/>
  <c r="W98"/>
  <c r="X98"/>
  <c r="Z98"/>
  <c r="AA98"/>
  <c r="AC98"/>
  <c r="AD98"/>
  <c r="AG98"/>
  <c r="AH98"/>
  <c r="AI98"/>
  <c r="AJ98"/>
  <c r="AL98"/>
  <c r="AM98"/>
  <c r="AO98"/>
  <c r="AP98"/>
  <c r="AR98"/>
  <c r="AS98"/>
  <c r="AT98"/>
  <c r="AU98"/>
  <c r="AV98"/>
  <c r="BA98"/>
  <c r="BB98"/>
  <c r="BC98"/>
  <c r="BE98"/>
  <c r="BF98"/>
  <c r="BG98"/>
  <c r="BI98"/>
  <c r="BM98"/>
  <c r="BO98"/>
  <c r="BP98"/>
  <c r="BV98"/>
  <c r="BW98"/>
  <c r="BX98"/>
  <c r="BY98"/>
  <c r="BZ98"/>
  <c r="CA98"/>
  <c r="CB98"/>
  <c r="CD98"/>
  <c r="CE98"/>
  <c r="CF98"/>
  <c r="CG98"/>
  <c r="CH98"/>
  <c r="CI98"/>
  <c r="CJ98"/>
  <c r="CM98"/>
  <c r="CN98"/>
  <c r="CO98"/>
  <c r="CQ98"/>
  <c r="CS98"/>
  <c r="CT98"/>
  <c r="CU98"/>
  <c r="CV98"/>
  <c r="CW98"/>
  <c r="CY98"/>
  <c r="CZ98"/>
  <c r="DA98"/>
  <c r="DB98"/>
  <c r="DC98"/>
  <c r="DD98"/>
  <c r="DE98"/>
  <c r="DF98"/>
  <c r="DG98"/>
  <c r="DH98"/>
  <c r="DI98"/>
  <c r="DJ98"/>
  <c r="DL98"/>
  <c r="DM98"/>
  <c r="DN98"/>
  <c r="DO98"/>
  <c r="DP98"/>
  <c r="DQ98"/>
  <c r="DS98"/>
  <c r="DT98"/>
  <c r="DU98"/>
  <c r="C99"/>
  <c r="D99"/>
  <c r="E99"/>
  <c r="F99"/>
  <c r="G99"/>
  <c r="H99"/>
  <c r="J99"/>
  <c r="K99"/>
  <c r="I99"/>
  <c r="L99"/>
  <c r="P99"/>
  <c r="Q99"/>
  <c r="R99"/>
  <c r="T99"/>
  <c r="U99"/>
  <c r="W99"/>
  <c r="X99"/>
  <c r="Z99"/>
  <c r="AA99"/>
  <c r="AC99"/>
  <c r="AD99"/>
  <c r="AG99"/>
  <c r="AH99"/>
  <c r="AI99"/>
  <c r="AJ99"/>
  <c r="AL99"/>
  <c r="AM99"/>
  <c r="AO99"/>
  <c r="AP99"/>
  <c r="AR99"/>
  <c r="AS99"/>
  <c r="AT99"/>
  <c r="AU99"/>
  <c r="AV99"/>
  <c r="BA99"/>
  <c r="BB99"/>
  <c r="BC99"/>
  <c r="BE99"/>
  <c r="BF99"/>
  <c r="BG99"/>
  <c r="BI99"/>
  <c r="BM99"/>
  <c r="BO99"/>
  <c r="BP99"/>
  <c r="BV99"/>
  <c r="BW99"/>
  <c r="BX99"/>
  <c r="BY99"/>
  <c r="BZ99"/>
  <c r="CA99"/>
  <c r="CB99"/>
  <c r="CD99"/>
  <c r="CE99"/>
  <c r="CF99"/>
  <c r="CG99"/>
  <c r="CH99"/>
  <c r="CI99"/>
  <c r="CJ99"/>
  <c r="CM99"/>
  <c r="CN99"/>
  <c r="CO99"/>
  <c r="CQ99"/>
  <c r="CS99"/>
  <c r="CT99"/>
  <c r="CU99"/>
  <c r="CV99"/>
  <c r="CW99"/>
  <c r="CY99"/>
  <c r="CZ99"/>
  <c r="DA99"/>
  <c r="DB99"/>
  <c r="DC99"/>
  <c r="DD99"/>
  <c r="DE99"/>
  <c r="DF99"/>
  <c r="DG99"/>
  <c r="DH99"/>
  <c r="DI99"/>
  <c r="DJ99"/>
  <c r="DL99"/>
  <c r="DM99"/>
  <c r="DN99"/>
  <c r="DO99"/>
  <c r="DP99"/>
  <c r="DQ99"/>
  <c r="DS99"/>
  <c r="DT99"/>
  <c r="DU99"/>
  <c r="C100"/>
  <c r="D100"/>
  <c r="E100"/>
  <c r="F100"/>
  <c r="G100"/>
  <c r="H100"/>
  <c r="J100"/>
  <c r="K100"/>
  <c r="I100"/>
  <c r="L100"/>
  <c r="P100"/>
  <c r="Q100"/>
  <c r="R100"/>
  <c r="T100"/>
  <c r="U100"/>
  <c r="W100"/>
  <c r="X100"/>
  <c r="Z100"/>
  <c r="AA100"/>
  <c r="AC100"/>
  <c r="AD100"/>
  <c r="AG100"/>
  <c r="AH100"/>
  <c r="AI100"/>
  <c r="AJ100"/>
  <c r="AL100"/>
  <c r="AM100"/>
  <c r="AO100"/>
  <c r="AP100"/>
  <c r="AR100"/>
  <c r="AS100"/>
  <c r="AT100"/>
  <c r="AU100"/>
  <c r="AV100"/>
  <c r="BA100"/>
  <c r="BB100"/>
  <c r="BC100"/>
  <c r="BE100"/>
  <c r="BF100"/>
  <c r="BG100"/>
  <c r="BI100"/>
  <c r="BM100"/>
  <c r="BO100"/>
  <c r="BP100"/>
  <c r="BV100"/>
  <c r="BW100"/>
  <c r="BX100"/>
  <c r="BY100"/>
  <c r="BZ100"/>
  <c r="CA100"/>
  <c r="CB100"/>
  <c r="CD100"/>
  <c r="CE100"/>
  <c r="CF100"/>
  <c r="CG100"/>
  <c r="CH100"/>
  <c r="CI100"/>
  <c r="CJ100"/>
  <c r="CM100"/>
  <c r="CN100"/>
  <c r="CO100"/>
  <c r="CQ100"/>
  <c r="CS100"/>
  <c r="CT100"/>
  <c r="CU100"/>
  <c r="CV100"/>
  <c r="CW100"/>
  <c r="CY100"/>
  <c r="CZ100"/>
  <c r="DA100"/>
  <c r="DB100"/>
  <c r="DC100"/>
  <c r="DD100"/>
  <c r="DE100"/>
  <c r="DF100"/>
  <c r="DG100"/>
  <c r="DH100"/>
  <c r="DI100"/>
  <c r="DJ100"/>
  <c r="DL100"/>
  <c r="DM100"/>
  <c r="DN100"/>
  <c r="DO100"/>
  <c r="DP100"/>
  <c r="DQ100"/>
  <c r="DS100"/>
  <c r="DT100"/>
  <c r="DU100"/>
  <c r="C101"/>
  <c r="D101"/>
  <c r="E101"/>
  <c r="F101"/>
  <c r="G101"/>
  <c r="H101"/>
  <c r="J101"/>
  <c r="K101"/>
  <c r="I101"/>
  <c r="L101"/>
  <c r="P101"/>
  <c r="Q101"/>
  <c r="R101"/>
  <c r="T101"/>
  <c r="U101"/>
  <c r="W101"/>
  <c r="X101"/>
  <c r="Z101"/>
  <c r="AA101"/>
  <c r="AC101"/>
  <c r="AD101"/>
  <c r="AG101"/>
  <c r="AH101"/>
  <c r="AI101"/>
  <c r="AJ101"/>
  <c r="AL101"/>
  <c r="AM101"/>
  <c r="AO101"/>
  <c r="AP101"/>
  <c r="AR101"/>
  <c r="AS101"/>
  <c r="AT101"/>
  <c r="AU101"/>
  <c r="AV101"/>
  <c r="BA101"/>
  <c r="BB101"/>
  <c r="BC101"/>
  <c r="BE101"/>
  <c r="BF101"/>
  <c r="BG101"/>
  <c r="BI101"/>
  <c r="BM101"/>
  <c r="BO101"/>
  <c r="BP101"/>
  <c r="BV101"/>
  <c r="BW101"/>
  <c r="BX101"/>
  <c r="BY101"/>
  <c r="BZ101"/>
  <c r="CA101"/>
  <c r="CB101"/>
  <c r="CD101"/>
  <c r="CE101"/>
  <c r="CF101"/>
  <c r="CG101"/>
  <c r="CH101"/>
  <c r="CI101"/>
  <c r="CJ101"/>
  <c r="CM101"/>
  <c r="CN101"/>
  <c r="CO101"/>
  <c r="CQ101"/>
  <c r="CS101"/>
  <c r="CT101"/>
  <c r="CU101"/>
  <c r="CV101"/>
  <c r="CW101"/>
  <c r="CY101"/>
  <c r="CZ101"/>
  <c r="DA101"/>
  <c r="DB101"/>
  <c r="DC101"/>
  <c r="DD101"/>
  <c r="DE101"/>
  <c r="DF101"/>
  <c r="DG101"/>
  <c r="DH101"/>
  <c r="DI101"/>
  <c r="DJ101"/>
  <c r="DL101"/>
  <c r="DM101"/>
  <c r="DN101"/>
  <c r="DO101"/>
  <c r="DP101"/>
  <c r="DQ101"/>
  <c r="DS101"/>
  <c r="DT101"/>
  <c r="DU101"/>
  <c r="C102"/>
  <c r="D102"/>
  <c r="E102"/>
  <c r="F102"/>
  <c r="G102"/>
  <c r="H102"/>
  <c r="J102"/>
  <c r="K102"/>
  <c r="I102"/>
  <c r="L102"/>
  <c r="P102"/>
  <c r="Q102"/>
  <c r="R102"/>
  <c r="T102"/>
  <c r="U102"/>
  <c r="W102"/>
  <c r="X102"/>
  <c r="Z102"/>
  <c r="AA102"/>
  <c r="AC102"/>
  <c r="AD102"/>
  <c r="AG102"/>
  <c r="AH102"/>
  <c r="AI102"/>
  <c r="AJ102"/>
  <c r="AL102"/>
  <c r="AM102"/>
  <c r="AO102"/>
  <c r="AP102"/>
  <c r="AR102"/>
  <c r="AS102"/>
  <c r="AT102"/>
  <c r="AU102"/>
  <c r="AV102"/>
  <c r="BA102"/>
  <c r="BB102"/>
  <c r="BC102"/>
  <c r="BE102"/>
  <c r="BF102"/>
  <c r="BG102"/>
  <c r="BI102"/>
  <c r="BM102"/>
  <c r="BO102"/>
  <c r="BP102"/>
  <c r="BV102"/>
  <c r="BW102"/>
  <c r="BX102"/>
  <c r="BY102"/>
  <c r="BZ102"/>
  <c r="CA102"/>
  <c r="CB102"/>
  <c r="CD102"/>
  <c r="CE102"/>
  <c r="CF102"/>
  <c r="CG102"/>
  <c r="CH102"/>
  <c r="CI102"/>
  <c r="CJ102"/>
  <c r="CM102"/>
  <c r="CN102"/>
  <c r="CO102"/>
  <c r="CQ102"/>
  <c r="CS102"/>
  <c r="CT102"/>
  <c r="CU102"/>
  <c r="CV102"/>
  <c r="CW102"/>
  <c r="CY102"/>
  <c r="CZ102"/>
  <c r="DA102"/>
  <c r="DB102"/>
  <c r="DC102"/>
  <c r="DD102"/>
  <c r="DE102"/>
  <c r="DF102"/>
  <c r="DG102"/>
  <c r="DH102"/>
  <c r="DI102"/>
  <c r="DJ102"/>
  <c r="DL102"/>
  <c r="DM102"/>
  <c r="DN102"/>
  <c r="DO102"/>
  <c r="DP102"/>
  <c r="DQ102"/>
  <c r="DS102"/>
  <c r="DT102"/>
  <c r="DU102"/>
  <c r="C103"/>
  <c r="D103"/>
  <c r="E103"/>
  <c r="F103"/>
  <c r="G103"/>
  <c r="H103"/>
  <c r="J103"/>
  <c r="K103"/>
  <c r="I103"/>
  <c r="L103"/>
  <c r="P103"/>
  <c r="Q103"/>
  <c r="R103"/>
  <c r="T103"/>
  <c r="U103"/>
  <c r="W103"/>
  <c r="X103"/>
  <c r="Z103"/>
  <c r="AA103"/>
  <c r="AC103"/>
  <c r="AD103"/>
  <c r="AG103"/>
  <c r="AH103"/>
  <c r="AI103"/>
  <c r="AJ103"/>
  <c r="AL103"/>
  <c r="AM103"/>
  <c r="AO103"/>
  <c r="AP103"/>
  <c r="AR103"/>
  <c r="AS103"/>
  <c r="AT103"/>
  <c r="AU103"/>
  <c r="AV103"/>
  <c r="BA103"/>
  <c r="BB103"/>
  <c r="BC103"/>
  <c r="BE103"/>
  <c r="BF103"/>
  <c r="BG103"/>
  <c r="BI103"/>
  <c r="BM103"/>
  <c r="BO103"/>
  <c r="BP103"/>
  <c r="BV103"/>
  <c r="BW103"/>
  <c r="BX103"/>
  <c r="BY103"/>
  <c r="BZ103"/>
  <c r="CA103"/>
  <c r="CB103"/>
  <c r="CD103"/>
  <c r="CE103"/>
  <c r="CF103"/>
  <c r="CG103"/>
  <c r="CH103"/>
  <c r="CI103"/>
  <c r="CJ103"/>
  <c r="CM103"/>
  <c r="CN103"/>
  <c r="CO103"/>
  <c r="CQ103"/>
  <c r="CS103"/>
  <c r="CT103"/>
  <c r="CU103"/>
  <c r="CV103"/>
  <c r="CW103"/>
  <c r="CY103"/>
  <c r="CZ103"/>
  <c r="DA103"/>
  <c r="DB103"/>
  <c r="DC103"/>
  <c r="DD103"/>
  <c r="DE103"/>
  <c r="DF103"/>
  <c r="DG103"/>
  <c r="DH103"/>
  <c r="DI103"/>
  <c r="DJ103"/>
  <c r="DL103"/>
  <c r="DM103"/>
  <c r="DN103"/>
  <c r="DO103"/>
  <c r="DP103"/>
  <c r="DQ103"/>
  <c r="DS103"/>
  <c r="DT103"/>
  <c r="DU103"/>
  <c r="C104"/>
  <c r="D104"/>
  <c r="E104"/>
  <c r="F104"/>
  <c r="G104"/>
  <c r="H104"/>
  <c r="J104"/>
  <c r="K104"/>
  <c r="I104"/>
  <c r="L104"/>
  <c r="P104"/>
  <c r="Q104"/>
  <c r="R104"/>
  <c r="T104"/>
  <c r="U104"/>
  <c r="W104"/>
  <c r="X104"/>
  <c r="Z104"/>
  <c r="AA104"/>
  <c r="AC104"/>
  <c r="AD104"/>
  <c r="AG104"/>
  <c r="AH104"/>
  <c r="AI104"/>
  <c r="AJ104"/>
  <c r="AL104"/>
  <c r="AM104"/>
  <c r="AO104"/>
  <c r="AP104"/>
  <c r="AR104"/>
  <c r="AS104"/>
  <c r="AT104"/>
  <c r="AU104"/>
  <c r="AV104"/>
  <c r="BA104"/>
  <c r="BB104"/>
  <c r="BC104"/>
  <c r="BE104"/>
  <c r="BF104"/>
  <c r="BG104"/>
  <c r="BI104"/>
  <c r="BM104"/>
  <c r="BO104"/>
  <c r="BP104"/>
  <c r="BV104"/>
  <c r="BW104"/>
  <c r="BX104"/>
  <c r="BY104"/>
  <c r="BZ104"/>
  <c r="CA104"/>
  <c r="CB104"/>
  <c r="CD104"/>
  <c r="CE104"/>
  <c r="CF104"/>
  <c r="CG104"/>
  <c r="CH104"/>
  <c r="CI104"/>
  <c r="CJ104"/>
  <c r="CM104"/>
  <c r="CN104"/>
  <c r="CO104"/>
  <c r="CQ104"/>
  <c r="CS104"/>
  <c r="CT104"/>
  <c r="CU104"/>
  <c r="CV104"/>
  <c r="CW104"/>
  <c r="CY104"/>
  <c r="CZ104"/>
  <c r="DA104"/>
  <c r="DB104"/>
  <c r="DC104"/>
  <c r="DD104"/>
  <c r="DE104"/>
  <c r="DF104"/>
  <c r="DG104"/>
  <c r="DH104"/>
  <c r="DI104"/>
  <c r="DJ104"/>
  <c r="DL104"/>
  <c r="DM104"/>
  <c r="DN104"/>
  <c r="DO104"/>
  <c r="DP104"/>
  <c r="DQ104"/>
  <c r="DS104"/>
  <c r="DT104"/>
  <c r="DU104"/>
  <c r="C105"/>
  <c r="D105"/>
  <c r="E105"/>
  <c r="F105"/>
  <c r="G105"/>
  <c r="H105"/>
  <c r="J105"/>
  <c r="K105"/>
  <c r="I105"/>
  <c r="L105"/>
  <c r="P105"/>
  <c r="Q105"/>
  <c r="R105"/>
  <c r="T105"/>
  <c r="U105"/>
  <c r="W105"/>
  <c r="X105"/>
  <c r="Z105"/>
  <c r="AA105"/>
  <c r="AC105"/>
  <c r="AD105"/>
  <c r="AG105"/>
  <c r="AH105"/>
  <c r="AI105"/>
  <c r="AJ105"/>
  <c r="AL105"/>
  <c r="AM105"/>
  <c r="AO105"/>
  <c r="AP105"/>
  <c r="AR105"/>
  <c r="AS105"/>
  <c r="AT105"/>
  <c r="AU105"/>
  <c r="AV105"/>
  <c r="BA105"/>
  <c r="BB105"/>
  <c r="BC105"/>
  <c r="BE105"/>
  <c r="BF105"/>
  <c r="BG105"/>
  <c r="BI105"/>
  <c r="BM105"/>
  <c r="BO105"/>
  <c r="BP105"/>
  <c r="BV105"/>
  <c r="BW105"/>
  <c r="BX105"/>
  <c r="BY105"/>
  <c r="BZ105"/>
  <c r="CA105"/>
  <c r="CB105"/>
  <c r="CD105"/>
  <c r="CE105"/>
  <c r="CF105"/>
  <c r="CG105"/>
  <c r="CH105"/>
  <c r="CI105"/>
  <c r="CJ105"/>
  <c r="CM105"/>
  <c r="CN105"/>
  <c r="CO105"/>
  <c r="CQ105"/>
  <c r="CS105"/>
  <c r="CT105"/>
  <c r="CU105"/>
  <c r="CV105"/>
  <c r="CW105"/>
  <c r="CY105"/>
  <c r="CZ105"/>
  <c r="DA105"/>
  <c r="DB105"/>
  <c r="DC105"/>
  <c r="DD105"/>
  <c r="DE105"/>
  <c r="DF105"/>
  <c r="DG105"/>
  <c r="DH105"/>
  <c r="DI105"/>
  <c r="DJ105"/>
  <c r="DL105"/>
  <c r="DM105"/>
  <c r="DN105"/>
  <c r="DO105"/>
  <c r="DP105"/>
  <c r="DQ105"/>
  <c r="DS105"/>
  <c r="DT105"/>
  <c r="DU105"/>
  <c r="C106"/>
  <c r="D106"/>
  <c r="E106"/>
  <c r="F106"/>
  <c r="G106"/>
  <c r="H106"/>
  <c r="J106"/>
  <c r="K106"/>
  <c r="I106"/>
  <c r="L106"/>
  <c r="P106"/>
  <c r="Q106"/>
  <c r="R106"/>
  <c r="T106"/>
  <c r="U106"/>
  <c r="W106"/>
  <c r="X106"/>
  <c r="Z106"/>
  <c r="AA106"/>
  <c r="AC106"/>
  <c r="AD106"/>
  <c r="AG106"/>
  <c r="AH106"/>
  <c r="AI106"/>
  <c r="AJ106"/>
  <c r="AL106"/>
  <c r="AM106"/>
  <c r="AO106"/>
  <c r="AP106"/>
  <c r="AR106"/>
  <c r="AS106"/>
  <c r="AT106"/>
  <c r="AU106"/>
  <c r="AV106"/>
  <c r="BA106"/>
  <c r="BB106"/>
  <c r="BC106"/>
  <c r="BE106"/>
  <c r="BF106"/>
  <c r="BG106"/>
  <c r="BI106"/>
  <c r="BM106"/>
  <c r="BO106"/>
  <c r="BP106"/>
  <c r="BV106"/>
  <c r="BW106"/>
  <c r="BX106"/>
  <c r="BY106"/>
  <c r="BZ106"/>
  <c r="CA106"/>
  <c r="CB106"/>
  <c r="CD106"/>
  <c r="CE106"/>
  <c r="CF106"/>
  <c r="CG106"/>
  <c r="CH106"/>
  <c r="CI106"/>
  <c r="CJ106"/>
  <c r="CM106"/>
  <c r="CN106"/>
  <c r="CO106"/>
  <c r="CQ106"/>
  <c r="CS106"/>
  <c r="CT106"/>
  <c r="CU106"/>
  <c r="CV106"/>
  <c r="CW106"/>
  <c r="CY106"/>
  <c r="CZ106"/>
  <c r="DA106"/>
  <c r="DB106"/>
  <c r="DC106"/>
  <c r="DD106"/>
  <c r="DE106"/>
  <c r="DF106"/>
  <c r="DG106"/>
  <c r="DH106"/>
  <c r="DI106"/>
  <c r="DJ106"/>
  <c r="DL106"/>
  <c r="DM106"/>
  <c r="DN106"/>
  <c r="DO106"/>
  <c r="DP106"/>
  <c r="DQ106"/>
  <c r="DS106"/>
  <c r="DT106"/>
  <c r="DU106"/>
  <c r="C107"/>
  <c r="D107"/>
  <c r="E107"/>
  <c r="F107"/>
  <c r="G107"/>
  <c r="H107"/>
  <c r="J107"/>
  <c r="K107"/>
  <c r="I107"/>
  <c r="L107"/>
  <c r="P107"/>
  <c r="Q107"/>
  <c r="R107"/>
  <c r="T107"/>
  <c r="U107"/>
  <c r="W107"/>
  <c r="X107"/>
  <c r="Z107"/>
  <c r="AA107"/>
  <c r="AC107"/>
  <c r="AD107"/>
  <c r="AG107"/>
  <c r="AH107"/>
  <c r="AI107"/>
  <c r="AJ107"/>
  <c r="AL107"/>
  <c r="AM107"/>
  <c r="AO107"/>
  <c r="AP107"/>
  <c r="AR107"/>
  <c r="AS107"/>
  <c r="AT107"/>
  <c r="AU107"/>
  <c r="AV107"/>
  <c r="BA107"/>
  <c r="BB107"/>
  <c r="BC107"/>
  <c r="BE107"/>
  <c r="BF107"/>
  <c r="BG107"/>
  <c r="BI107"/>
  <c r="BM107"/>
  <c r="BO107"/>
  <c r="BP107"/>
  <c r="BV107"/>
  <c r="BW107"/>
  <c r="BX107"/>
  <c r="BY107"/>
  <c r="BZ107"/>
  <c r="CA107"/>
  <c r="CB107"/>
  <c r="CD107"/>
  <c r="CE107"/>
  <c r="CF107"/>
  <c r="CG107"/>
  <c r="CH107"/>
  <c r="CI107"/>
  <c r="CJ107"/>
  <c r="CM107"/>
  <c r="CN107"/>
  <c r="CO107"/>
  <c r="CQ107"/>
  <c r="CS107"/>
  <c r="CT107"/>
  <c r="CU107"/>
  <c r="CV107"/>
  <c r="CW107"/>
  <c r="CY107"/>
  <c r="CZ107"/>
  <c r="DA107"/>
  <c r="DB107"/>
  <c r="DC107"/>
  <c r="DD107"/>
  <c r="DE107"/>
  <c r="DF107"/>
  <c r="DG107"/>
  <c r="DH107"/>
  <c r="DI107"/>
  <c r="DJ107"/>
  <c r="DL107"/>
  <c r="DM107"/>
  <c r="DN107"/>
  <c r="DO107"/>
  <c r="DP107"/>
  <c r="DQ107"/>
  <c r="DS107"/>
  <c r="DT107"/>
  <c r="DU107"/>
  <c r="BQ124"/>
  <c r="BR124"/>
  <c r="BS124"/>
  <c r="BT124"/>
  <c r="BU124"/>
  <c r="DW124"/>
  <c r="E2" i="16"/>
  <c r="E3"/>
  <c r="E4"/>
  <c r="E5"/>
  <c r="E6"/>
  <c r="E7"/>
  <c r="E8"/>
  <c r="E9"/>
  <c r="S683" i="2"/>
  <c r="DW545"/>
  <c r="S350"/>
  <c r="S202"/>
  <c r="S175"/>
  <c r="S173"/>
  <c r="S176"/>
  <c r="S117"/>
  <c r="S118"/>
  <c r="S86"/>
  <c r="S59"/>
  <c r="S561"/>
  <c r="DV558"/>
  <c r="AE558"/>
  <c r="S497"/>
  <c r="AN496"/>
  <c r="DV434"/>
  <c r="S408"/>
  <c r="DV405"/>
  <c r="AE405"/>
  <c r="S377"/>
  <c r="DW557"/>
  <c r="DW556"/>
  <c r="DW555"/>
  <c r="DW553"/>
  <c r="DW552"/>
  <c r="DW526"/>
  <c r="DZ526"/>
  <c r="DW525"/>
  <c r="DZ525"/>
  <c r="DW524"/>
  <c r="DZ524"/>
  <c r="DW523"/>
  <c r="DZ523"/>
  <c r="DW522"/>
  <c r="DZ522"/>
  <c r="DW519"/>
  <c r="DZ519"/>
  <c r="DW518"/>
  <c r="DZ518"/>
  <c r="DW517"/>
  <c r="DZ517"/>
  <c r="DW516"/>
  <c r="DZ516"/>
  <c r="DW515"/>
  <c r="DZ515"/>
  <c r="DW514"/>
  <c r="DZ514"/>
  <c r="S496"/>
  <c r="V500" s="1"/>
  <c r="BM376"/>
  <c r="BM377"/>
  <c r="AN222"/>
  <c r="AN231" s="1"/>
  <c r="AL231"/>
  <c r="AL232"/>
  <c r="S560"/>
  <c r="AN465"/>
  <c r="AE434"/>
  <c r="S436"/>
  <c r="S407"/>
  <c r="S320"/>
  <c r="S234"/>
  <c r="DV202"/>
  <c r="S30"/>
  <c r="S231"/>
  <c r="DV173"/>
  <c r="S31"/>
  <c r="H815" l="1"/>
  <c r="H814"/>
  <c r="I814"/>
  <c r="I815"/>
  <c r="C64" i="3"/>
  <c r="C60"/>
  <c r="C56"/>
  <c r="C52"/>
  <c r="C63"/>
  <c r="C59"/>
  <c r="C54"/>
  <c r="C70"/>
  <c r="S29"/>
  <c r="C66"/>
  <c r="C62"/>
  <c r="C57"/>
  <c r="C53"/>
  <c r="C69"/>
  <c r="C65"/>
  <c r="C55"/>
  <c r="S30"/>
  <c r="C61"/>
  <c r="C58"/>
  <c r="H747" i="2"/>
  <c r="DY743"/>
  <c r="C71" i="3"/>
  <c r="AC71"/>
  <c r="AE30"/>
  <c r="X500" i="2"/>
  <c r="U500"/>
  <c r="BE70" i="3"/>
  <c r="BF70"/>
  <c r="BG70"/>
  <c r="U747" i="2"/>
  <c r="V747"/>
  <c r="DV30" i="3"/>
  <c r="AL71"/>
  <c r="AN71" s="1"/>
  <c r="AN30"/>
  <c r="W500" i="2"/>
  <c r="DW743"/>
  <c r="W747"/>
  <c r="X747"/>
  <c r="AL70" i="3"/>
  <c r="AN70" s="1"/>
  <c r="AQ11"/>
  <c r="AE14"/>
  <c r="AQ14"/>
  <c r="CL77"/>
  <c r="CL78"/>
  <c r="CL72"/>
  <c r="CL76"/>
  <c r="CL74"/>
  <c r="CL71"/>
  <c r="CL73"/>
  <c r="CL75"/>
  <c r="S115" i="2"/>
  <c r="DV28"/>
  <c r="S204"/>
  <c r="S88"/>
  <c r="DK78" i="3"/>
  <c r="DK76"/>
  <c r="DK77"/>
  <c r="DK72"/>
  <c r="DK75"/>
  <c r="DK73"/>
  <c r="DK74"/>
  <c r="DK71"/>
  <c r="DV115" i="2"/>
  <c r="CP78" i="3"/>
  <c r="CP72"/>
  <c r="CP73"/>
  <c r="CP75"/>
  <c r="CP71"/>
  <c r="CP74"/>
  <c r="CP76"/>
  <c r="CP77"/>
  <c r="BM88"/>
  <c r="DW520" i="2"/>
  <c r="S348"/>
  <c r="DV318"/>
  <c r="S290"/>
  <c r="CX72" i="3"/>
  <c r="CX73"/>
  <c r="CX71"/>
  <c r="CX74"/>
  <c r="CX78"/>
  <c r="CX76"/>
  <c r="CX75"/>
  <c r="CX77"/>
  <c r="DZ520" i="2"/>
  <c r="AN232"/>
  <c r="BG68" i="3"/>
  <c r="BE67"/>
  <c r="BE69"/>
  <c r="BF69"/>
  <c r="BF65"/>
  <c r="S530" i="2"/>
  <c r="AL92" i="3"/>
  <c r="AN92" s="1"/>
  <c r="BG69"/>
  <c r="AE109"/>
  <c r="BL78"/>
  <c r="BL75"/>
  <c r="BL77"/>
  <c r="V39"/>
  <c r="BL72"/>
  <c r="BL74"/>
  <c r="AE681" i="2"/>
  <c r="DZ521"/>
  <c r="S499"/>
  <c r="S466"/>
  <c r="S465"/>
  <c r="S437"/>
  <c r="S376"/>
  <c r="U380" s="1"/>
  <c r="AN347"/>
  <c r="S347"/>
  <c r="U351" s="1"/>
  <c r="S262"/>
  <c r="S232"/>
  <c r="S147"/>
  <c r="DV86"/>
  <c r="DV57"/>
  <c r="S60"/>
  <c r="BL73" i="3"/>
  <c r="V78"/>
  <c r="V77"/>
  <c r="V76"/>
  <c r="V74"/>
  <c r="V75"/>
  <c r="V73"/>
  <c r="BL40"/>
  <c r="AQ405" i="2"/>
  <c r="BL39" i="3"/>
  <c r="AN109"/>
  <c r="DV109"/>
  <c r="BM97"/>
  <c r="BM91"/>
  <c r="BL76"/>
  <c r="V40"/>
  <c r="S109"/>
  <c r="BM8"/>
  <c r="BM49" s="1"/>
  <c r="AQ109"/>
  <c r="DS71"/>
  <c r="DS72"/>
  <c r="DS74"/>
  <c r="DS75"/>
  <c r="DS78"/>
  <c r="DS73"/>
  <c r="DS77"/>
  <c r="DS76"/>
  <c r="DE70"/>
  <c r="DE73" s="1"/>
  <c r="CV70"/>
  <c r="CV73" s="1"/>
  <c r="CJ70"/>
  <c r="CJ77" s="1"/>
  <c r="CA70"/>
  <c r="CA77" s="1"/>
  <c r="BI70"/>
  <c r="BI77" s="1"/>
  <c r="AT70"/>
  <c r="T73"/>
  <c r="DO70"/>
  <c r="DF70"/>
  <c r="DF73" s="1"/>
  <c r="CW70"/>
  <c r="CW73" s="1"/>
  <c r="CM70"/>
  <c r="CM73" s="1"/>
  <c r="CB70"/>
  <c r="CB73" s="1"/>
  <c r="BM70"/>
  <c r="AU70"/>
  <c r="U76"/>
  <c r="D76"/>
  <c r="DP70"/>
  <c r="DG70"/>
  <c r="DG73" s="1"/>
  <c r="CY70"/>
  <c r="CY77" s="1"/>
  <c r="CN70"/>
  <c r="CN73" s="1"/>
  <c r="CD70"/>
  <c r="CD77" s="1"/>
  <c r="BP70"/>
  <c r="BP77" s="1"/>
  <c r="AV70"/>
  <c r="W76"/>
  <c r="DT70"/>
  <c r="DT73" s="1"/>
  <c r="DJ70"/>
  <c r="DB70"/>
  <c r="DB73" s="1"/>
  <c r="CS70"/>
  <c r="CS77" s="1"/>
  <c r="CG70"/>
  <c r="CG73" s="1"/>
  <c r="BX70"/>
  <c r="BX73" s="1"/>
  <c r="DH70"/>
  <c r="DH73" s="1"/>
  <c r="CO70"/>
  <c r="CO77" s="1"/>
  <c r="BV70"/>
  <c r="BV74" s="1"/>
  <c r="DI70"/>
  <c r="DI73" s="1"/>
  <c r="CQ70"/>
  <c r="CQ73" s="1"/>
  <c r="BW70"/>
  <c r="BW77" s="1"/>
  <c r="O75"/>
  <c r="DL70"/>
  <c r="CT70"/>
  <c r="CT73" s="1"/>
  <c r="BY70"/>
  <c r="BY77" s="1"/>
  <c r="AR70"/>
  <c r="DU70"/>
  <c r="DC70"/>
  <c r="DC73" s="1"/>
  <c r="CH70"/>
  <c r="CH77" s="1"/>
  <c r="AC76"/>
  <c r="AE76" s="1"/>
  <c r="CU70"/>
  <c r="CU73" s="1"/>
  <c r="AS70"/>
  <c r="CZ70"/>
  <c r="CZ73" s="1"/>
  <c r="BA70"/>
  <c r="BA77" s="1"/>
  <c r="DA70"/>
  <c r="DA73" s="1"/>
  <c r="BB70"/>
  <c r="BB78" s="1"/>
  <c r="DD70"/>
  <c r="DD73" s="1"/>
  <c r="BZ70"/>
  <c r="BZ73" s="1"/>
  <c r="CF70"/>
  <c r="CF77" s="1"/>
  <c r="DM70"/>
  <c r="DQ70"/>
  <c r="CI70"/>
  <c r="CI73" s="1"/>
  <c r="Z72"/>
  <c r="CE70"/>
  <c r="CE73" s="1"/>
  <c r="AN29"/>
  <c r="BM69"/>
  <c r="AN13"/>
  <c r="BM86"/>
  <c r="S529" i="2"/>
  <c r="DW521"/>
  <c r="S57"/>
  <c r="S144"/>
  <c r="AE29" i="3"/>
  <c r="S682" i="2"/>
  <c r="DV527"/>
  <c r="AE527"/>
  <c r="S468"/>
  <c r="S379"/>
  <c r="DV260"/>
  <c r="DV144"/>
  <c r="S146"/>
  <c r="S89"/>
  <c r="DW554"/>
  <c r="BE68" i="3"/>
  <c r="BG65"/>
  <c r="BF67"/>
  <c r="BF66"/>
  <c r="BG66"/>
  <c r="BE65"/>
  <c r="BM89"/>
  <c r="BM11"/>
  <c r="BM52" s="1"/>
  <c r="DW20" i="2"/>
  <c r="DW12"/>
  <c r="AE15" i="3"/>
  <c r="AE17"/>
  <c r="DZ701" i="2"/>
  <c r="DV5" i="3"/>
  <c r="AN10"/>
  <c r="DV7"/>
  <c r="DV8"/>
  <c r="AQ12"/>
  <c r="AE16"/>
  <c r="AQ15"/>
  <c r="AQ10"/>
  <c r="AN16"/>
  <c r="AN25"/>
  <c r="DV29"/>
  <c r="AE22"/>
  <c r="DW647" i="2"/>
  <c r="DW642"/>
  <c r="DW637"/>
  <c r="DW4"/>
  <c r="DW26"/>
  <c r="DW18"/>
  <c r="DW10"/>
  <c r="AE713"/>
  <c r="AN20" i="3"/>
  <c r="DV9"/>
  <c r="AQ18"/>
  <c r="AQ16"/>
  <c r="DV10"/>
  <c r="AE20"/>
  <c r="AE13"/>
  <c r="AQ13"/>
  <c r="AE26"/>
  <c r="AN21"/>
  <c r="AN19"/>
  <c r="AQ17"/>
  <c r="AN15"/>
  <c r="AN17"/>
  <c r="AE25"/>
  <c r="AO40"/>
  <c r="AJ120"/>
  <c r="DV11"/>
  <c r="AL60"/>
  <c r="AN60" s="1"/>
  <c r="BY52"/>
  <c r="DV52" s="1"/>
  <c r="AN27"/>
  <c r="AM56"/>
  <c r="AN56" s="1"/>
  <c r="AN23"/>
  <c r="AE28"/>
  <c r="BO39"/>
  <c r="BO40"/>
  <c r="BO53"/>
  <c r="BM7"/>
  <c r="BM48" s="1"/>
  <c r="AN14"/>
  <c r="DW256" i="2"/>
  <c r="DW246"/>
  <c r="BM10" i="3"/>
  <c r="BM51" s="1"/>
  <c r="DW609" i="2"/>
  <c r="DW604"/>
  <c r="DW599"/>
  <c r="DW395"/>
  <c r="DW388"/>
  <c r="DW386"/>
  <c r="DW373"/>
  <c r="DW344"/>
  <c r="DW332"/>
  <c r="DW325"/>
  <c r="DW308"/>
  <c r="DW296"/>
  <c r="DW250"/>
  <c r="DW242"/>
  <c r="DW103"/>
  <c r="BM90" i="3"/>
  <c r="BM87"/>
  <c r="AN88"/>
  <c r="AE21"/>
  <c r="DV16"/>
  <c r="AN11"/>
  <c r="AN18"/>
  <c r="AQ54"/>
  <c r="DV12"/>
  <c r="DV14"/>
  <c r="DV15"/>
  <c r="DV13"/>
  <c r="BE39"/>
  <c r="AE19"/>
  <c r="AQ91"/>
  <c r="AE18"/>
  <c r="AN51"/>
  <c r="AN99"/>
  <c r="AN98"/>
  <c r="AN97"/>
  <c r="AN94"/>
  <c r="AN91"/>
  <c r="AN87"/>
  <c r="AN86"/>
  <c r="AQ51"/>
  <c r="AE27"/>
  <c r="BE40"/>
  <c r="AE101"/>
  <c r="AQ94"/>
  <c r="AQ89"/>
  <c r="AQ88"/>
  <c r="AQ55"/>
  <c r="AN26"/>
  <c r="DV17"/>
  <c r="DV18"/>
  <c r="AN24"/>
  <c r="DV91"/>
  <c r="AE23"/>
  <c r="AN22"/>
  <c r="BP40"/>
  <c r="AN96"/>
  <c r="AN95"/>
  <c r="AN93"/>
  <c r="AN90"/>
  <c r="AN89"/>
  <c r="AN85"/>
  <c r="AE55"/>
  <c r="DV58"/>
  <c r="DV22"/>
  <c r="CF39"/>
  <c r="DV19"/>
  <c r="DV24"/>
  <c r="DS39"/>
  <c r="DV21"/>
  <c r="BI40"/>
  <c r="BG40"/>
  <c r="DV20"/>
  <c r="AQ19"/>
  <c r="AE102"/>
  <c r="AE99"/>
  <c r="AE98"/>
  <c r="AQ97"/>
  <c r="AE97"/>
  <c r="AQ96"/>
  <c r="AE96"/>
  <c r="AE95"/>
  <c r="AE94"/>
  <c r="AQ93"/>
  <c r="AE93"/>
  <c r="AQ90"/>
  <c r="AQ87"/>
  <c r="AQ86"/>
  <c r="AQ85"/>
  <c r="BG39"/>
  <c r="DI39"/>
  <c r="AQ59"/>
  <c r="BM20"/>
  <c r="BM61" s="1"/>
  <c r="DW679" i="2"/>
  <c r="DW394"/>
  <c r="DW385"/>
  <c r="DW372"/>
  <c r="DW363"/>
  <c r="DW343"/>
  <c r="DW324"/>
  <c r="DW317"/>
  <c r="DW307"/>
  <c r="DW305"/>
  <c r="DW295"/>
  <c r="DW288"/>
  <c r="DW278"/>
  <c r="DW276"/>
  <c r="DW266"/>
  <c r="DW24"/>
  <c r="DW16"/>
  <c r="DW8"/>
  <c r="DW254"/>
  <c r="AN260"/>
  <c r="DW244"/>
  <c r="DW236"/>
  <c r="DW161"/>
  <c r="DW25"/>
  <c r="DW17"/>
  <c r="DW9"/>
  <c r="BM19" i="3"/>
  <c r="BM60" s="1"/>
  <c r="BM58" i="2"/>
  <c r="DZ702"/>
  <c r="DW252"/>
  <c r="DW190"/>
  <c r="AN101" i="3"/>
  <c r="AQ99"/>
  <c r="AQ95"/>
  <c r="AQ92"/>
  <c r="AI120"/>
  <c r="AE54"/>
  <c r="AE69"/>
  <c r="AE64"/>
  <c r="AN63"/>
  <c r="AN54"/>
  <c r="AN52"/>
  <c r="DV96"/>
  <c r="DV92"/>
  <c r="AH120"/>
  <c r="CQ39"/>
  <c r="AN55"/>
  <c r="AN59"/>
  <c r="AE65"/>
  <c r="AN64"/>
  <c r="AE56"/>
  <c r="AQ53"/>
  <c r="AO39"/>
  <c r="DV26"/>
  <c r="DA39"/>
  <c r="AO52"/>
  <c r="AQ52" s="1"/>
  <c r="DV27"/>
  <c r="DV25"/>
  <c r="AE24"/>
  <c r="DV23"/>
  <c r="AQ98"/>
  <c r="AE61"/>
  <c r="AQ56"/>
  <c r="DV51"/>
  <c r="DV48"/>
  <c r="AE60"/>
  <c r="AQ60"/>
  <c r="AN57"/>
  <c r="DV99"/>
  <c r="AE63"/>
  <c r="AN62"/>
  <c r="AE59"/>
  <c r="AN58"/>
  <c r="AQ57"/>
  <c r="AE57"/>
  <c r="DV98"/>
  <c r="DV95"/>
  <c r="DV53"/>
  <c r="DV50"/>
  <c r="DV49"/>
  <c r="DV100"/>
  <c r="AN100"/>
  <c r="AS40"/>
  <c r="DW678" i="2"/>
  <c r="DZ613"/>
  <c r="DW535"/>
  <c r="DW506"/>
  <c r="DW403"/>
  <c r="DW384"/>
  <c r="DW371"/>
  <c r="DW369"/>
  <c r="DW362"/>
  <c r="DW357"/>
  <c r="DW342"/>
  <c r="DW340"/>
  <c r="DW323"/>
  <c r="DW316"/>
  <c r="DW306"/>
  <c r="DW304"/>
  <c r="DW294"/>
  <c r="DW287"/>
  <c r="DW277"/>
  <c r="DW275"/>
  <c r="DW265"/>
  <c r="DW21"/>
  <c r="DW13"/>
  <c r="DW658"/>
  <c r="DW645"/>
  <c r="DW640"/>
  <c r="DW635"/>
  <c r="DW630"/>
  <c r="DW615"/>
  <c r="DW543"/>
  <c r="DW538"/>
  <c r="DW511"/>
  <c r="DW396"/>
  <c r="DW253"/>
  <c r="DW251"/>
  <c r="DW243"/>
  <c r="DW45"/>
  <c r="BM9" i="3"/>
  <c r="BM50" s="1"/>
  <c r="DZ552" i="2"/>
  <c r="DW387"/>
  <c r="DW50"/>
  <c r="DW46"/>
  <c r="AS39" i="3"/>
  <c r="AT39"/>
  <c r="DZ675" i="2"/>
  <c r="DW664"/>
  <c r="DW659"/>
  <c r="DW641"/>
  <c r="DW636"/>
  <c r="DW631"/>
  <c r="DW616"/>
  <c r="DW74"/>
  <c r="DW672"/>
  <c r="DW667"/>
  <c r="DW662"/>
  <c r="DW649"/>
  <c r="DW596"/>
  <c r="DW505"/>
  <c r="DW402"/>
  <c r="DW383"/>
  <c r="DW370"/>
  <c r="DW368"/>
  <c r="DW361"/>
  <c r="DW356"/>
  <c r="DW341"/>
  <c r="DW339"/>
  <c r="DW315"/>
  <c r="DW303"/>
  <c r="DW286"/>
  <c r="DW274"/>
  <c r="AV39" i="3"/>
  <c r="DV103"/>
  <c r="AT40"/>
  <c r="AN65"/>
  <c r="AN61"/>
  <c r="AU39"/>
  <c r="AP39"/>
  <c r="AE58"/>
  <c r="C39"/>
  <c r="AN12"/>
  <c r="AL53"/>
  <c r="AN53" s="1"/>
  <c r="AS74"/>
  <c r="AS75"/>
  <c r="AS76"/>
  <c r="AS73"/>
  <c r="AS72"/>
  <c r="AS77"/>
  <c r="AE62"/>
  <c r="AU60"/>
  <c r="AP40"/>
  <c r="AR39"/>
  <c r="DW673" i="2"/>
  <c r="DW668"/>
  <c r="DW627"/>
  <c r="DW610"/>
  <c r="DW605"/>
  <c r="DW600"/>
  <c r="DW544"/>
  <c r="DW539"/>
  <c r="DW512"/>
  <c r="DW399"/>
  <c r="DW397"/>
  <c r="DW390"/>
  <c r="DW375"/>
  <c r="DW365"/>
  <c r="DW353"/>
  <c r="DW346"/>
  <c r="DW336"/>
  <c r="DW334"/>
  <c r="DW329"/>
  <c r="DW312"/>
  <c r="DW310"/>
  <c r="DW300"/>
  <c r="DW298"/>
  <c r="DW283"/>
  <c r="DW281"/>
  <c r="DW271"/>
  <c r="DW269"/>
  <c r="DW257"/>
  <c r="DW247"/>
  <c r="DW239"/>
  <c r="DZ704"/>
  <c r="DW671"/>
  <c r="DW666"/>
  <c r="DW661"/>
  <c r="DW648"/>
  <c r="DW643"/>
  <c r="DW618"/>
  <c r="DW608"/>
  <c r="DW603"/>
  <c r="DW598"/>
  <c r="DW542"/>
  <c r="DW537"/>
  <c r="DW327"/>
  <c r="DW279"/>
  <c r="DW267"/>
  <c r="DW255"/>
  <c r="DW245"/>
  <c r="DW237"/>
  <c r="DW68"/>
  <c r="DW5"/>
  <c r="AU40" i="3"/>
  <c r="DW676" i="2"/>
  <c r="DW674"/>
  <c r="DW633"/>
  <c r="DW628"/>
  <c r="DW611"/>
  <c r="DW606"/>
  <c r="DZ565"/>
  <c r="DW513"/>
  <c r="DW508"/>
  <c r="DW503"/>
  <c r="DW400"/>
  <c r="DW398"/>
  <c r="DW391"/>
  <c r="DW381"/>
  <c r="DW366"/>
  <c r="DW359"/>
  <c r="DW354"/>
  <c r="DW337"/>
  <c r="DW330"/>
  <c r="DW313"/>
  <c r="DW311"/>
  <c r="DW301"/>
  <c r="DW299"/>
  <c r="DW284"/>
  <c r="DW282"/>
  <c r="DW272"/>
  <c r="DW258"/>
  <c r="DW248"/>
  <c r="DW240"/>
  <c r="DW132"/>
  <c r="DW6"/>
  <c r="DZ703"/>
  <c r="AV40" i="3"/>
  <c r="AR40"/>
  <c r="DW22" i="2"/>
  <c r="DW14"/>
  <c r="BC40" i="3"/>
  <c r="BC39"/>
  <c r="DW389" i="2"/>
  <c r="DW374"/>
  <c r="DW352"/>
  <c r="DW345"/>
  <c r="DW335"/>
  <c r="DW333"/>
  <c r="DW328"/>
  <c r="DW326"/>
  <c r="DW309"/>
  <c r="DW297"/>
  <c r="DW280"/>
  <c r="DW270"/>
  <c r="DW268"/>
  <c r="DW238"/>
  <c r="DZ705"/>
  <c r="AP58" i="3"/>
  <c r="AQ58" s="1"/>
  <c r="DW677" i="2"/>
  <c r="DW639"/>
  <c r="DW634"/>
  <c r="DW629"/>
  <c r="DW614"/>
  <c r="DW612"/>
  <c r="DW577"/>
  <c r="DW401"/>
  <c r="DW392"/>
  <c r="DW382"/>
  <c r="DW367"/>
  <c r="DW360"/>
  <c r="DW355"/>
  <c r="DW338"/>
  <c r="DW314"/>
  <c r="DW302"/>
  <c r="DW285"/>
  <c r="DW273"/>
  <c r="DW259"/>
  <c r="DW249"/>
  <c r="DW241"/>
  <c r="DW680"/>
  <c r="DW670"/>
  <c r="DW665"/>
  <c r="DW660"/>
  <c r="DW617"/>
  <c r="DW602"/>
  <c r="DW597"/>
  <c r="DW541"/>
  <c r="DW404"/>
  <c r="AN66" i="3"/>
  <c r="AN104"/>
  <c r="AE66"/>
  <c r="DW626" i="2"/>
  <c r="DW595"/>
  <c r="BM466"/>
  <c r="DZ680"/>
  <c r="S528"/>
  <c r="S289"/>
  <c r="DW657"/>
  <c r="DZ616"/>
  <c r="BM434"/>
  <c r="AQ174"/>
  <c r="BM173"/>
  <c r="DW166"/>
  <c r="DW162"/>
  <c r="AQ103" i="3"/>
  <c r="AQ102"/>
  <c r="AN67"/>
  <c r="DV104"/>
  <c r="AN68"/>
  <c r="AN713" i="2"/>
  <c r="AN69" i="3"/>
  <c r="DW644" i="2"/>
  <c r="S622"/>
  <c r="DW601"/>
  <c r="DW534"/>
  <c r="AN528"/>
  <c r="AE528"/>
  <c r="DW509"/>
  <c r="AE406"/>
  <c r="AQ348"/>
  <c r="AQ289"/>
  <c r="BM203"/>
  <c r="DW126"/>
  <c r="BM116"/>
  <c r="DW108"/>
  <c r="DW104"/>
  <c r="F685"/>
  <c r="G685" s="1"/>
  <c r="DZ678"/>
  <c r="DZ676"/>
  <c r="AN651"/>
  <c r="F623"/>
  <c r="G623" s="1"/>
  <c r="AN589"/>
  <c r="AN559"/>
  <c r="H500"/>
  <c r="F469"/>
  <c r="G469" s="1"/>
  <c r="F438"/>
  <c r="G438" s="1"/>
  <c r="DW227"/>
  <c r="DW223"/>
  <c r="DW221"/>
  <c r="AQ231"/>
  <c r="DW198"/>
  <c r="DW194"/>
  <c r="DW193"/>
  <c r="DW191"/>
  <c r="BM145"/>
  <c r="DW137"/>
  <c r="BM87"/>
  <c r="DW79"/>
  <c r="DW564"/>
  <c r="DZ586"/>
  <c r="DZ584"/>
  <c r="DZ582"/>
  <c r="DZ580"/>
  <c r="DZ578"/>
  <c r="DW576"/>
  <c r="DW574"/>
  <c r="DW572"/>
  <c r="DW570"/>
  <c r="DW568"/>
  <c r="DW566"/>
  <c r="DZ677"/>
  <c r="F654"/>
  <c r="G654" s="1"/>
  <c r="DZ646"/>
  <c r="DZ606"/>
  <c r="F562"/>
  <c r="G562" s="1"/>
  <c r="F531"/>
  <c r="G531" s="1"/>
  <c r="F500"/>
  <c r="G500" s="1"/>
  <c r="H469"/>
  <c r="S260"/>
  <c r="AQ260"/>
  <c r="DZ587"/>
  <c r="DZ585"/>
  <c r="DZ583"/>
  <c r="DZ581"/>
  <c r="DZ579"/>
  <c r="DZ575"/>
  <c r="DZ573"/>
  <c r="DZ571"/>
  <c r="DZ569"/>
  <c r="DZ567"/>
  <c r="S715"/>
  <c r="F716"/>
  <c r="G716" s="1"/>
  <c r="DJ6" i="4928"/>
  <c r="DJ7"/>
  <c r="DH6"/>
  <c r="DH7"/>
  <c r="DF6"/>
  <c r="DF7"/>
  <c r="DD6"/>
  <c r="DD7"/>
  <c r="DA6"/>
  <c r="DA7"/>
  <c r="CY6"/>
  <c r="CY7"/>
  <c r="CW6"/>
  <c r="CW7"/>
  <c r="CU6"/>
  <c r="CU7"/>
  <c r="CS6"/>
  <c r="CS7"/>
  <c r="CQ6"/>
  <c r="CQ7"/>
  <c r="CN6"/>
  <c r="CN7"/>
  <c r="CL6"/>
  <c r="CL7"/>
  <c r="CJ6"/>
  <c r="CJ7"/>
  <c r="CH6"/>
  <c r="CH7"/>
  <c r="CF6"/>
  <c r="CF7"/>
  <c r="CC6"/>
  <c r="CC7"/>
  <c r="CA6"/>
  <c r="CA7"/>
  <c r="BY6"/>
  <c r="BY7"/>
  <c r="BW6"/>
  <c r="BW7"/>
  <c r="BU6"/>
  <c r="BU7"/>
  <c r="BS6"/>
  <c r="BS7"/>
  <c r="BQ6"/>
  <c r="BQ7"/>
  <c r="BJ6"/>
  <c r="BJ7"/>
  <c r="BC6"/>
  <c r="BC7"/>
  <c r="BA6"/>
  <c r="BA7"/>
  <c r="AY6"/>
  <c r="AY7"/>
  <c r="AV6"/>
  <c r="AV7"/>
  <c r="AT6"/>
  <c r="AT7"/>
  <c r="AR6"/>
  <c r="AR7"/>
  <c r="AP6"/>
  <c r="AP7"/>
  <c r="AL6"/>
  <c r="AL7"/>
  <c r="AD6"/>
  <c r="AD7"/>
  <c r="AA6"/>
  <c r="AA7"/>
  <c r="R7"/>
  <c r="R6"/>
  <c r="L7"/>
  <c r="L6"/>
  <c r="O6"/>
  <c r="O7"/>
  <c r="E6"/>
  <c r="E7"/>
  <c r="BM28" i="2"/>
  <c r="N7" i="4928"/>
  <c r="N6"/>
  <c r="DB6"/>
  <c r="DB7"/>
  <c r="CO6"/>
  <c r="CO7"/>
  <c r="CE6"/>
  <c r="CE7"/>
  <c r="DV89" i="3"/>
  <c r="DV88"/>
  <c r="F592" i="2"/>
  <c r="G592" s="1"/>
  <c r="AQ318"/>
  <c r="DW586"/>
  <c r="DW584"/>
  <c r="DW582"/>
  <c r="DW580"/>
  <c r="DW578"/>
  <c r="DW575"/>
  <c r="DW573"/>
  <c r="DW571"/>
  <c r="DW569"/>
  <c r="DW567"/>
  <c r="DW565"/>
  <c r="DZ576"/>
  <c r="DZ574"/>
  <c r="DZ572"/>
  <c r="DZ570"/>
  <c r="DZ568"/>
  <c r="DZ566"/>
  <c r="DK6" i="4928"/>
  <c r="DK7"/>
  <c r="DI6"/>
  <c r="DI7"/>
  <c r="DG6"/>
  <c r="DG7"/>
  <c r="DE6"/>
  <c r="DE7"/>
  <c r="DC6"/>
  <c r="DC7"/>
  <c r="CZ6"/>
  <c r="CZ7"/>
  <c r="CX6"/>
  <c r="CX7"/>
  <c r="CV6"/>
  <c r="CV7"/>
  <c r="CT6"/>
  <c r="CT7"/>
  <c r="CR6"/>
  <c r="CR7"/>
  <c r="CP6"/>
  <c r="CP7"/>
  <c r="CM6"/>
  <c r="CM7"/>
  <c r="CK6"/>
  <c r="CK7"/>
  <c r="CI6"/>
  <c r="CI7"/>
  <c r="CG6"/>
  <c r="CG7"/>
  <c r="CD6"/>
  <c r="CD7"/>
  <c r="CB6"/>
  <c r="CB7"/>
  <c r="BZ6"/>
  <c r="BZ7"/>
  <c r="BX6"/>
  <c r="BX7"/>
  <c r="BV6"/>
  <c r="BV7"/>
  <c r="BT6"/>
  <c r="BT7"/>
  <c r="BR6"/>
  <c r="BR7"/>
  <c r="BK6"/>
  <c r="BK7"/>
  <c r="BG6"/>
  <c r="BG7"/>
  <c r="BB6"/>
  <c r="BB7"/>
  <c r="AZ6"/>
  <c r="AZ7"/>
  <c r="AX6"/>
  <c r="AX7"/>
  <c r="AU6"/>
  <c r="AU7"/>
  <c r="AS6"/>
  <c r="AS7"/>
  <c r="AO6"/>
  <c r="AO7"/>
  <c r="AM6"/>
  <c r="AM7"/>
  <c r="AJ6"/>
  <c r="AJ7"/>
  <c r="T6"/>
  <c r="T7"/>
  <c r="Q6"/>
  <c r="Q7"/>
  <c r="I6"/>
  <c r="I7"/>
  <c r="K6"/>
  <c r="K7"/>
  <c r="D7"/>
  <c r="D6"/>
  <c r="P7"/>
  <c r="P6"/>
  <c r="M6"/>
  <c r="M7"/>
  <c r="DW663" i="2"/>
  <c r="AN650"/>
  <c r="DW607"/>
  <c r="S558"/>
  <c r="V562" s="1"/>
  <c r="AQ435"/>
  <c r="S319"/>
  <c r="AE260"/>
  <c r="DW212"/>
  <c r="DW209"/>
  <c r="DW207"/>
  <c r="AQ202"/>
  <c r="DW182"/>
  <c r="DW178"/>
  <c r="DW155"/>
  <c r="DW151"/>
  <c r="DW149"/>
  <c r="DW141"/>
  <c r="DW139"/>
  <c r="DW138"/>
  <c r="DW130"/>
  <c r="DW128"/>
  <c r="DW127"/>
  <c r="AE116"/>
  <c r="DW97"/>
  <c r="DW93"/>
  <c r="DW91"/>
  <c r="DW83"/>
  <c r="DW81"/>
  <c r="DW80"/>
  <c r="DW72"/>
  <c r="DW70"/>
  <c r="DW69"/>
  <c r="AE58"/>
  <c r="DW39"/>
  <c r="DW35"/>
  <c r="DW33"/>
  <c r="BM29"/>
  <c r="DW587"/>
  <c r="DW585"/>
  <c r="DW583"/>
  <c r="DW581"/>
  <c r="DW579"/>
  <c r="AI6" i="4928"/>
  <c r="AI7"/>
  <c r="AH6"/>
  <c r="AH7"/>
  <c r="AG6"/>
  <c r="AG7"/>
  <c r="AE712" i="2"/>
  <c r="DV93" i="3"/>
  <c r="AC6" i="4928"/>
  <c r="AC7"/>
  <c r="Z6"/>
  <c r="Z7"/>
  <c r="DV85" i="3"/>
  <c r="O39"/>
  <c r="O40"/>
  <c r="DV97"/>
  <c r="DV94"/>
  <c r="DV87"/>
  <c r="DV86"/>
  <c r="DV60"/>
  <c r="DV56"/>
  <c r="DV54"/>
  <c r="DV90"/>
  <c r="DV64"/>
  <c r="DV63"/>
  <c r="DV62"/>
  <c r="DV59"/>
  <c r="DV57"/>
  <c r="DV55"/>
  <c r="DV28"/>
  <c r="DV65"/>
  <c r="DV61"/>
  <c r="DV46"/>
  <c r="DN6"/>
  <c r="DN40" s="1"/>
  <c r="DE6"/>
  <c r="DE39" s="1"/>
  <c r="CV6"/>
  <c r="CV40" s="1"/>
  <c r="CJ6"/>
  <c r="CJ40" s="1"/>
  <c r="CA6"/>
  <c r="CA40" s="1"/>
  <c r="AI6"/>
  <c r="AI47" s="1"/>
  <c r="AI78" s="1"/>
  <c r="Q6"/>
  <c r="Q47" s="1"/>
  <c r="G6"/>
  <c r="G47" s="1"/>
  <c r="DU6"/>
  <c r="DU40" s="1"/>
  <c r="DP6"/>
  <c r="DP39" s="1"/>
  <c r="DL6"/>
  <c r="DL39" s="1"/>
  <c r="DG6"/>
  <c r="DG40" s="1"/>
  <c r="DC6"/>
  <c r="DC39" s="1"/>
  <c r="CY6"/>
  <c r="CY40" s="1"/>
  <c r="CT6"/>
  <c r="CT39" s="1"/>
  <c r="CN6"/>
  <c r="CN40" s="1"/>
  <c r="CH6"/>
  <c r="CH40" s="1"/>
  <c r="CD6"/>
  <c r="CD39" s="1"/>
  <c r="BY6"/>
  <c r="BM6"/>
  <c r="AG6"/>
  <c r="AG47" s="1"/>
  <c r="T6"/>
  <c r="L6"/>
  <c r="L47" s="1"/>
  <c r="J6"/>
  <c r="J40" s="1"/>
  <c r="E6"/>
  <c r="E47" s="1"/>
  <c r="DT6"/>
  <c r="DT39" s="1"/>
  <c r="DQ6"/>
  <c r="DQ40" s="1"/>
  <c r="DO6"/>
  <c r="DO39" s="1"/>
  <c r="DM6"/>
  <c r="DM39" s="1"/>
  <c r="DJ6"/>
  <c r="DJ39" s="1"/>
  <c r="DH6"/>
  <c r="DH39" s="1"/>
  <c r="DF6"/>
  <c r="DF40" s="1"/>
  <c r="DD6"/>
  <c r="DD40" s="1"/>
  <c r="DB6"/>
  <c r="DB39" s="1"/>
  <c r="CZ6"/>
  <c r="CZ40" s="1"/>
  <c r="CW6"/>
  <c r="CW40" s="1"/>
  <c r="CU6"/>
  <c r="CU39" s="1"/>
  <c r="CS6"/>
  <c r="CS39" s="1"/>
  <c r="CO6"/>
  <c r="CO39" s="1"/>
  <c r="CM6"/>
  <c r="CM39" s="1"/>
  <c r="CI6"/>
  <c r="CI39" s="1"/>
  <c r="CG6"/>
  <c r="CG39" s="1"/>
  <c r="CE6"/>
  <c r="CE39" s="1"/>
  <c r="CB6"/>
  <c r="CB39" s="1"/>
  <c r="BZ6"/>
  <c r="BZ39" s="1"/>
  <c r="BX6"/>
  <c r="BX39" s="1"/>
  <c r="BV6"/>
  <c r="BV39" s="1"/>
  <c r="AJ6"/>
  <c r="AJ47" s="1"/>
  <c r="AH6"/>
  <c r="AH47" s="1"/>
  <c r="X6"/>
  <c r="X47" s="1"/>
  <c r="X78" s="1"/>
  <c r="U6"/>
  <c r="R6"/>
  <c r="R39" s="1"/>
  <c r="P6"/>
  <c r="P39" s="1"/>
  <c r="I6"/>
  <c r="I39" s="1"/>
  <c r="K6"/>
  <c r="K40" s="1"/>
  <c r="H6"/>
  <c r="H39" s="1"/>
  <c r="F6"/>
  <c r="F39" s="1"/>
  <c r="AV69"/>
  <c r="AT69"/>
  <c r="AR69"/>
  <c r="M107"/>
  <c r="O107"/>
  <c r="N27"/>
  <c r="N68" s="1"/>
  <c r="N107"/>
  <c r="M27"/>
  <c r="M68" s="1"/>
  <c r="M105"/>
  <c r="O105"/>
  <c r="N25"/>
  <c r="N66" s="1"/>
  <c r="N105"/>
  <c r="M25"/>
  <c r="M66" s="1"/>
  <c r="M103"/>
  <c r="O103"/>
  <c r="N23"/>
  <c r="N64" s="1"/>
  <c r="N103"/>
  <c r="M23"/>
  <c r="M64" s="1"/>
  <c r="M101"/>
  <c r="O101"/>
  <c r="N21"/>
  <c r="N62" s="1"/>
  <c r="N101"/>
  <c r="M21"/>
  <c r="M62" s="1"/>
  <c r="M99"/>
  <c r="O99"/>
  <c r="N19"/>
  <c r="N60" s="1"/>
  <c r="N99"/>
  <c r="M19"/>
  <c r="M60" s="1"/>
  <c r="M97"/>
  <c r="O97"/>
  <c r="N17"/>
  <c r="N58" s="1"/>
  <c r="N97"/>
  <c r="M17"/>
  <c r="M58" s="1"/>
  <c r="M95"/>
  <c r="O95"/>
  <c r="N15"/>
  <c r="N56" s="1"/>
  <c r="N95"/>
  <c r="M15"/>
  <c r="M56" s="1"/>
  <c r="M93"/>
  <c r="O93"/>
  <c r="N13"/>
  <c r="N54" s="1"/>
  <c r="N93"/>
  <c r="M13"/>
  <c r="M54" s="1"/>
  <c r="M91"/>
  <c r="O91"/>
  <c r="N11"/>
  <c r="N52" s="1"/>
  <c r="N91"/>
  <c r="M11"/>
  <c r="M52" s="1"/>
  <c r="M89"/>
  <c r="O89"/>
  <c r="N9"/>
  <c r="N50" s="1"/>
  <c r="N89"/>
  <c r="M9"/>
  <c r="M50" s="1"/>
  <c r="M87"/>
  <c r="O87"/>
  <c r="N7"/>
  <c r="N48" s="1"/>
  <c r="N87"/>
  <c r="M7"/>
  <c r="M48" s="1"/>
  <c r="M85"/>
  <c r="O85"/>
  <c r="N85"/>
  <c r="M5"/>
  <c r="N5"/>
  <c r="DV69"/>
  <c r="DV67"/>
  <c r="AU69"/>
  <c r="AS69"/>
  <c r="C68"/>
  <c r="DU108"/>
  <c r="DU120" s="1"/>
  <c r="DS108"/>
  <c r="DS120" s="1"/>
  <c r="DP108"/>
  <c r="DP120" s="1"/>
  <c r="DN108"/>
  <c r="DN120" s="1"/>
  <c r="DL108"/>
  <c r="DL120" s="1"/>
  <c r="DI108"/>
  <c r="DI120" s="1"/>
  <c r="DG108"/>
  <c r="DG120" s="1"/>
  <c r="DE108"/>
  <c r="DE120" s="1"/>
  <c r="DC108"/>
  <c r="DC120" s="1"/>
  <c r="DA108"/>
  <c r="DA120" s="1"/>
  <c r="CY108"/>
  <c r="CY120" s="1"/>
  <c r="CV108"/>
  <c r="CV120" s="1"/>
  <c r="CT108"/>
  <c r="CT120" s="1"/>
  <c r="CQ108"/>
  <c r="CQ120" s="1"/>
  <c r="CN108"/>
  <c r="CN120" s="1"/>
  <c r="CJ108"/>
  <c r="CJ120" s="1"/>
  <c r="CH108"/>
  <c r="CH120" s="1"/>
  <c r="CF108"/>
  <c r="CF120" s="1"/>
  <c r="CD108"/>
  <c r="CD120" s="1"/>
  <c r="CA108"/>
  <c r="CA120" s="1"/>
  <c r="BY108"/>
  <c r="BY120" s="1"/>
  <c r="BW108"/>
  <c r="BW120" s="1"/>
  <c r="BP108"/>
  <c r="BP120" s="1"/>
  <c r="BM108"/>
  <c r="BG108"/>
  <c r="BG120" s="1"/>
  <c r="BE108"/>
  <c r="BE120" s="1"/>
  <c r="BB108"/>
  <c r="BB120" s="1"/>
  <c r="AV108"/>
  <c r="AV120" s="1"/>
  <c r="AT108"/>
  <c r="AT120" s="1"/>
  <c r="AR108"/>
  <c r="AR120" s="1"/>
  <c r="AO108"/>
  <c r="AO120" s="1"/>
  <c r="AL108"/>
  <c r="AI108"/>
  <c r="AG108"/>
  <c r="AG120" s="1"/>
  <c r="AC108"/>
  <c r="AC120" s="1"/>
  <c r="Z108"/>
  <c r="Z120" s="1"/>
  <c r="W108"/>
  <c r="W120" s="1"/>
  <c r="T108"/>
  <c r="T120" s="1"/>
  <c r="Q108"/>
  <c r="Q120" s="1"/>
  <c r="O108"/>
  <c r="M108"/>
  <c r="K108"/>
  <c r="K120" s="1"/>
  <c r="I108"/>
  <c r="I120" s="1"/>
  <c r="G108"/>
  <c r="G120" s="1"/>
  <c r="E108"/>
  <c r="E120" s="1"/>
  <c r="C108"/>
  <c r="C120" s="1"/>
  <c r="N28"/>
  <c r="N69" s="1"/>
  <c r="DT108"/>
  <c r="DT120" s="1"/>
  <c r="DQ108"/>
  <c r="DQ120" s="1"/>
  <c r="DO108"/>
  <c r="DO120" s="1"/>
  <c r="DM108"/>
  <c r="DM120" s="1"/>
  <c r="DJ108"/>
  <c r="DJ120" s="1"/>
  <c r="DH108"/>
  <c r="DH120" s="1"/>
  <c r="DF108"/>
  <c r="DF120" s="1"/>
  <c r="DD108"/>
  <c r="DD120" s="1"/>
  <c r="DB108"/>
  <c r="DB120" s="1"/>
  <c r="CZ108"/>
  <c r="CZ120" s="1"/>
  <c r="CW108"/>
  <c r="CW120" s="1"/>
  <c r="CU108"/>
  <c r="CU120" s="1"/>
  <c r="CS108"/>
  <c r="CS120" s="1"/>
  <c r="CO108"/>
  <c r="CO120" s="1"/>
  <c r="CM108"/>
  <c r="CM120" s="1"/>
  <c r="CI108"/>
  <c r="CI120" s="1"/>
  <c r="CG108"/>
  <c r="CG120" s="1"/>
  <c r="CE108"/>
  <c r="CE120" s="1"/>
  <c r="CB108"/>
  <c r="CB120" s="1"/>
  <c r="BZ108"/>
  <c r="BZ120" s="1"/>
  <c r="BX108"/>
  <c r="BX120" s="1"/>
  <c r="BV108"/>
  <c r="BO108"/>
  <c r="BO120" s="1"/>
  <c r="BI108"/>
  <c r="BI120" s="1"/>
  <c r="BF108"/>
  <c r="BF120" s="1"/>
  <c r="BC108"/>
  <c r="BC120" s="1"/>
  <c r="BA108"/>
  <c r="BA120" s="1"/>
  <c r="AU108"/>
  <c r="AU120" s="1"/>
  <c r="AS108"/>
  <c r="AS120" s="1"/>
  <c r="AP108"/>
  <c r="AP120" s="1"/>
  <c r="AM108"/>
  <c r="AM120" s="1"/>
  <c r="AJ108"/>
  <c r="AH108"/>
  <c r="AD108"/>
  <c r="AD120" s="1"/>
  <c r="AA108"/>
  <c r="AA120" s="1"/>
  <c r="X108"/>
  <c r="X120" s="1"/>
  <c r="U108"/>
  <c r="U120" s="1"/>
  <c r="R108"/>
  <c r="R120" s="1"/>
  <c r="P108"/>
  <c r="P120" s="1"/>
  <c r="N108"/>
  <c r="L108"/>
  <c r="L120" s="1"/>
  <c r="J108"/>
  <c r="J120" s="1"/>
  <c r="H108"/>
  <c r="H120" s="1"/>
  <c r="F108"/>
  <c r="F120" s="1"/>
  <c r="D108"/>
  <c r="D120" s="1"/>
  <c r="M28"/>
  <c r="M69" s="1"/>
  <c r="N106"/>
  <c r="N26"/>
  <c r="N67" s="1"/>
  <c r="M106"/>
  <c r="O106"/>
  <c r="M26"/>
  <c r="M67" s="1"/>
  <c r="N104"/>
  <c r="N24"/>
  <c r="N65" s="1"/>
  <c r="M104"/>
  <c r="O104"/>
  <c r="M24"/>
  <c r="M65" s="1"/>
  <c r="N102"/>
  <c r="N22"/>
  <c r="N63" s="1"/>
  <c r="M102"/>
  <c r="O102"/>
  <c r="M22"/>
  <c r="M63" s="1"/>
  <c r="N100"/>
  <c r="N20"/>
  <c r="N61" s="1"/>
  <c r="M100"/>
  <c r="O100"/>
  <c r="M20"/>
  <c r="M61" s="1"/>
  <c r="N98"/>
  <c r="N18"/>
  <c r="N59" s="1"/>
  <c r="M98"/>
  <c r="O98"/>
  <c r="M18"/>
  <c r="M59" s="1"/>
  <c r="N96"/>
  <c r="N16"/>
  <c r="N57" s="1"/>
  <c r="M96"/>
  <c r="O96"/>
  <c r="M16"/>
  <c r="M57" s="1"/>
  <c r="N94"/>
  <c r="N14"/>
  <c r="N55" s="1"/>
  <c r="M94"/>
  <c r="O94"/>
  <c r="M14"/>
  <c r="M55" s="1"/>
  <c r="N92"/>
  <c r="N12"/>
  <c r="N53" s="1"/>
  <c r="M92"/>
  <c r="O92"/>
  <c r="M12"/>
  <c r="M53" s="1"/>
  <c r="N90"/>
  <c r="N10"/>
  <c r="N51" s="1"/>
  <c r="M90"/>
  <c r="O90"/>
  <c r="M10"/>
  <c r="M51" s="1"/>
  <c r="N88"/>
  <c r="N8"/>
  <c r="N49" s="1"/>
  <c r="M88"/>
  <c r="O88"/>
  <c r="M8"/>
  <c r="M49" s="1"/>
  <c r="N86"/>
  <c r="N6"/>
  <c r="N47" s="1"/>
  <c r="M86"/>
  <c r="O86"/>
  <c r="M6"/>
  <c r="M47" s="1"/>
  <c r="DV68"/>
  <c r="DS40"/>
  <c r="DI40"/>
  <c r="DA40"/>
  <c r="CQ40"/>
  <c r="CF40"/>
  <c r="BW40"/>
  <c r="BP39"/>
  <c r="BI39"/>
  <c r="BF40"/>
  <c r="BB40"/>
  <c r="AM40"/>
  <c r="AD40"/>
  <c r="AA40"/>
  <c r="D39"/>
  <c r="BA40"/>
  <c r="AL39"/>
  <c r="AC39"/>
  <c r="Z40"/>
  <c r="W40"/>
  <c r="C40"/>
  <c r="C67"/>
  <c r="DZ649" i="2"/>
  <c r="DW646"/>
  <c r="DZ644"/>
  <c r="DZ648"/>
  <c r="DZ645"/>
  <c r="AE106" i="3"/>
  <c r="AQ104"/>
  <c r="AE104"/>
  <c r="AN103"/>
  <c r="AE103"/>
  <c r="AN102"/>
  <c r="AQ101"/>
  <c r="AQ100"/>
  <c r="AE100"/>
  <c r="DV102"/>
  <c r="DV101"/>
  <c r="AV76"/>
  <c r="AV73"/>
  <c r="AV75"/>
  <c r="AV72"/>
  <c r="AV77"/>
  <c r="AV74"/>
  <c r="AT74"/>
  <c r="AT73"/>
  <c r="AT75"/>
  <c r="AT72"/>
  <c r="AT76"/>
  <c r="AT77"/>
  <c r="AR73"/>
  <c r="AR75"/>
  <c r="AR76"/>
  <c r="AR74"/>
  <c r="AR72"/>
  <c r="AR77"/>
  <c r="DN66"/>
  <c r="DN73" s="1"/>
  <c r="DV105"/>
  <c r="DU66"/>
  <c r="DP66"/>
  <c r="DP73" s="1"/>
  <c r="DL66"/>
  <c r="DL73" s="1"/>
  <c r="DZ668" i="2"/>
  <c r="AQ106" i="3"/>
  <c r="AN106"/>
  <c r="AQ105"/>
  <c r="AN105"/>
  <c r="AE105"/>
  <c r="AE68"/>
  <c r="AE67"/>
  <c r="Q67"/>
  <c r="G67"/>
  <c r="E67"/>
  <c r="DQ66"/>
  <c r="DO66"/>
  <c r="DM66"/>
  <c r="DJ66"/>
  <c r="W39"/>
  <c r="AC40"/>
  <c r="AL40"/>
  <c r="BA39"/>
  <c r="Z39"/>
  <c r="AN681" i="2"/>
  <c r="DZ637"/>
  <c r="S653"/>
  <c r="DZ618"/>
  <c r="DZ615"/>
  <c r="S263"/>
  <c r="AE682"/>
  <c r="DW669"/>
  <c r="DZ614"/>
  <c r="DW613"/>
  <c r="DZ612"/>
  <c r="DZ611"/>
  <c r="DZ610"/>
  <c r="DZ609"/>
  <c r="DZ608"/>
  <c r="DZ607"/>
  <c r="AN588"/>
  <c r="DW507"/>
  <c r="AE497"/>
  <c r="AQ406"/>
  <c r="AN406"/>
  <c r="AN377"/>
  <c r="DW364"/>
  <c r="AQ376"/>
  <c r="AN319"/>
  <c r="AE319"/>
  <c r="AQ290"/>
  <c r="AE290"/>
  <c r="DV231"/>
  <c r="DW229"/>
  <c r="DW228"/>
  <c r="DW216"/>
  <c r="DW214"/>
  <c r="DW213"/>
  <c r="S203"/>
  <c r="DW200"/>
  <c r="DW199"/>
  <c r="DW186"/>
  <c r="DW184"/>
  <c r="DW183"/>
  <c r="DW170"/>
  <c r="DW168"/>
  <c r="DW167"/>
  <c r="DW159"/>
  <c r="DW157"/>
  <c r="DW156"/>
  <c r="AE145"/>
  <c r="DW133"/>
  <c r="DW122"/>
  <c r="DW120"/>
  <c r="DW112"/>
  <c r="DW110"/>
  <c r="DW109"/>
  <c r="DW101"/>
  <c r="DW99"/>
  <c r="DW98"/>
  <c r="AE87"/>
  <c r="DW75"/>
  <c r="DW64"/>
  <c r="DW62"/>
  <c r="DW54"/>
  <c r="DW52"/>
  <c r="DW51"/>
  <c r="DW43"/>
  <c r="DW41"/>
  <c r="DW40"/>
  <c r="S28"/>
  <c r="DW693"/>
  <c r="BM405"/>
  <c r="BM406"/>
  <c r="AN682"/>
  <c r="DW675"/>
  <c r="DZ674"/>
  <c r="DZ673"/>
  <c r="DZ672"/>
  <c r="DZ671"/>
  <c r="DZ670"/>
  <c r="DZ669"/>
  <c r="DW632"/>
  <c r="AE620"/>
  <c r="DZ617"/>
  <c r="DZ546"/>
  <c r="DW540"/>
  <c r="DW536"/>
  <c r="AE496"/>
  <c r="AN405"/>
  <c r="AE289"/>
  <c r="AN289"/>
  <c r="S291"/>
  <c r="S261"/>
  <c r="S681"/>
  <c r="V685" s="1"/>
  <c r="S684"/>
  <c r="DZ679"/>
  <c r="DZ647"/>
  <c r="S619"/>
  <c r="V623" s="1"/>
  <c r="S589"/>
  <c r="DV376"/>
  <c r="S378"/>
  <c r="DW510"/>
  <c r="DW504"/>
  <c r="AE466"/>
  <c r="AE435"/>
  <c r="AQ377"/>
  <c r="AE348"/>
  <c r="AE347"/>
  <c r="AE318"/>
  <c r="AN261"/>
  <c r="AE261"/>
  <c r="AE232"/>
  <c r="DW225"/>
  <c r="DW224"/>
  <c r="DW218"/>
  <c r="DW217"/>
  <c r="DW210"/>
  <c r="AN203"/>
  <c r="AE203"/>
  <c r="DW196"/>
  <c r="DW195"/>
  <c r="AN202"/>
  <c r="DW188"/>
  <c r="DW187"/>
  <c r="DW180"/>
  <c r="DW179"/>
  <c r="AE174"/>
  <c r="DW172"/>
  <c r="DW171"/>
  <c r="DW164"/>
  <c r="DW163"/>
  <c r="DW160"/>
  <c r="DW153"/>
  <c r="DW152"/>
  <c r="AQ145"/>
  <c r="AN145"/>
  <c r="DW143"/>
  <c r="DW142"/>
  <c r="DW135"/>
  <c r="DW134"/>
  <c r="DW131"/>
  <c r="DW124"/>
  <c r="DW123"/>
  <c r="AQ116"/>
  <c r="AN116"/>
  <c r="DW114"/>
  <c r="DW113"/>
  <c r="DW106"/>
  <c r="DW105"/>
  <c r="DW102"/>
  <c r="DW95"/>
  <c r="DW94"/>
  <c r="AQ87"/>
  <c r="AN87"/>
  <c r="DW85"/>
  <c r="DW84"/>
  <c r="DW77"/>
  <c r="DW76"/>
  <c r="DW73"/>
  <c r="DW66"/>
  <c r="DW65"/>
  <c r="AQ58"/>
  <c r="AN58"/>
  <c r="DW56"/>
  <c r="DW55"/>
  <c r="DW48"/>
  <c r="DW47"/>
  <c r="DW44"/>
  <c r="DW37"/>
  <c r="DW36"/>
  <c r="AN29"/>
  <c r="AE29"/>
  <c r="DW689"/>
  <c r="DW704"/>
  <c r="DW698"/>
  <c r="DW705"/>
  <c r="DV712"/>
  <c r="S713"/>
  <c r="AE107" i="3"/>
  <c r="DV106"/>
  <c r="DW551" i="2"/>
  <c r="DZ551"/>
  <c r="DW550"/>
  <c r="DZ550"/>
  <c r="DW549"/>
  <c r="DZ549"/>
  <c r="DW548"/>
  <c r="DZ548"/>
  <c r="DW547"/>
  <c r="DZ547"/>
  <c r="AE650"/>
  <c r="AN620"/>
  <c r="AN619"/>
  <c r="AE589"/>
  <c r="S559"/>
  <c r="DZ556"/>
  <c r="DZ554"/>
  <c r="AN558"/>
  <c r="DV496"/>
  <c r="DV681"/>
  <c r="AE651"/>
  <c r="S651"/>
  <c r="DV650"/>
  <c r="S650"/>
  <c r="DZ638"/>
  <c r="S652"/>
  <c r="S620"/>
  <c r="DV619"/>
  <c r="S621"/>
  <c r="AE619"/>
  <c r="DV588"/>
  <c r="AE588"/>
  <c r="AN527"/>
  <c r="DV465"/>
  <c r="S467"/>
  <c r="S435"/>
  <c r="S405"/>
  <c r="U409" s="1"/>
  <c r="S318"/>
  <c r="S714"/>
  <c r="AN712"/>
  <c r="DZ700"/>
  <c r="S590"/>
  <c r="AE559"/>
  <c r="DZ557"/>
  <c r="DZ555"/>
  <c r="DZ553"/>
  <c r="DW546"/>
  <c r="DZ545"/>
  <c r="S527"/>
  <c r="V531" s="1"/>
  <c r="AN497"/>
  <c r="S498"/>
  <c r="AN466"/>
  <c r="AE465"/>
  <c r="AN435"/>
  <c r="AQ434"/>
  <c r="AN434"/>
  <c r="S434"/>
  <c r="U438" s="1"/>
  <c r="S406"/>
  <c r="DW393"/>
  <c r="AE377"/>
  <c r="DW358"/>
  <c r="AE376"/>
  <c r="AN348"/>
  <c r="DW331"/>
  <c r="AQ347"/>
  <c r="AQ319"/>
  <c r="AN290"/>
  <c r="AQ261"/>
  <c r="AQ232"/>
  <c r="DW230"/>
  <c r="DW226"/>
  <c r="DW222"/>
  <c r="DW219"/>
  <c r="DW215"/>
  <c r="S233"/>
  <c r="DW211"/>
  <c r="DW208"/>
  <c r="AQ203"/>
  <c r="DW201"/>
  <c r="DW197"/>
  <c r="DW192"/>
  <c r="DW189"/>
  <c r="DW185"/>
  <c r="DW181"/>
  <c r="AN174"/>
  <c r="DW169"/>
  <c r="DW165"/>
  <c r="DW158"/>
  <c r="DW154"/>
  <c r="DW150"/>
  <c r="DW140"/>
  <c r="DW136"/>
  <c r="DW129"/>
  <c r="DW125"/>
  <c r="DW121"/>
  <c r="S116"/>
  <c r="DW111"/>
  <c r="DW107"/>
  <c r="DW100"/>
  <c r="DW96"/>
  <c r="DW92"/>
  <c r="S87"/>
  <c r="DW82"/>
  <c r="DW78"/>
  <c r="DW71"/>
  <c r="DW67"/>
  <c r="DW63"/>
  <c r="S58"/>
  <c r="DW53"/>
  <c r="DW49"/>
  <c r="DW42"/>
  <c r="DW38"/>
  <c r="DW34"/>
  <c r="AQ29"/>
  <c r="DW27"/>
  <c r="DW23"/>
  <c r="DW19"/>
  <c r="DW15"/>
  <c r="DW11"/>
  <c r="DW7"/>
  <c r="AN28" i="3"/>
  <c r="D40"/>
  <c r="BW39"/>
  <c r="BF39"/>
  <c r="BB39"/>
  <c r="AN107"/>
  <c r="AM39"/>
  <c r="AD39"/>
  <c r="AA39"/>
  <c r="AQ107"/>
  <c r="DW688" i="2"/>
  <c r="DW692"/>
  <c r="DW697"/>
  <c r="DW690"/>
  <c r="DW691"/>
  <c r="DW695"/>
  <c r="DW696"/>
  <c r="DW701"/>
  <c r="DW702"/>
  <c r="DW703"/>
  <c r="DZ706"/>
  <c r="DV107" i="3"/>
  <c r="DZ708" i="2"/>
  <c r="DZ710"/>
  <c r="DZ699"/>
  <c r="DZ707"/>
  <c r="DZ709"/>
  <c r="DZ711"/>
  <c r="DY688"/>
  <c r="DW694"/>
  <c r="DW700"/>
  <c r="S712"/>
  <c r="V716" s="1"/>
  <c r="DW699"/>
  <c r="DW706"/>
  <c r="DW707"/>
  <c r="DW708"/>
  <c r="DW709"/>
  <c r="DW710"/>
  <c r="DW711"/>
  <c r="C6" i="4928"/>
  <c r="C7"/>
  <c r="DZ643" i="2"/>
  <c r="DZ642"/>
  <c r="DZ641"/>
  <c r="DZ640"/>
  <c r="DZ639"/>
  <c r="DW638"/>
  <c r="DY626"/>
  <c r="S591"/>
  <c r="S588"/>
  <c r="V592" s="1"/>
  <c r="DZ577"/>
  <c r="DY564"/>
  <c r="DY588" s="1"/>
  <c r="AN376"/>
  <c r="DV347"/>
  <c r="AN318"/>
  <c r="S321"/>
  <c r="S145"/>
  <c r="S349"/>
  <c r="DV289"/>
  <c r="S292"/>
  <c r="S205"/>
  <c r="S174"/>
  <c r="S29"/>
  <c r="V654" l="1"/>
  <c r="S815"/>
  <c r="S814"/>
  <c r="DJ73" i="3"/>
  <c r="S11"/>
  <c r="DW11" s="1"/>
  <c r="S12"/>
  <c r="DW12" s="1"/>
  <c r="S23"/>
  <c r="S20"/>
  <c r="S22"/>
  <c r="S27"/>
  <c r="S28"/>
  <c r="S25"/>
  <c r="S26"/>
  <c r="S17"/>
  <c r="DW17" s="1"/>
  <c r="S19"/>
  <c r="S24"/>
  <c r="S21"/>
  <c r="DW21" s="1"/>
  <c r="S18"/>
  <c r="S15"/>
  <c r="DW15" s="1"/>
  <c r="S14"/>
  <c r="DW14" s="1"/>
  <c r="S16"/>
  <c r="DW16" s="1"/>
  <c r="S13"/>
  <c r="DW13" s="1"/>
  <c r="AL120"/>
  <c r="AN120" s="1"/>
  <c r="DQ73"/>
  <c r="J469" i="2"/>
  <c r="V469"/>
  <c r="U716"/>
  <c r="X531"/>
  <c r="W592"/>
  <c r="X623"/>
  <c r="X654"/>
  <c r="W716"/>
  <c r="X469"/>
  <c r="U562"/>
  <c r="U592"/>
  <c r="W623"/>
  <c r="U685"/>
  <c r="S747"/>
  <c r="X716"/>
  <c r="W469"/>
  <c r="U531"/>
  <c r="W562"/>
  <c r="U623"/>
  <c r="U654"/>
  <c r="W685"/>
  <c r="U469"/>
  <c r="W531"/>
  <c r="X562"/>
  <c r="X592"/>
  <c r="W654"/>
  <c r="X685"/>
  <c r="DO73" i="3"/>
  <c r="AG78"/>
  <c r="L78"/>
  <c r="AH78"/>
  <c r="DM73"/>
  <c r="DU73"/>
  <c r="AE70"/>
  <c r="T77"/>
  <c r="O78"/>
  <c r="S69"/>
  <c r="S68"/>
  <c r="D74"/>
  <c r="U75"/>
  <c r="D77"/>
  <c r="W75"/>
  <c r="T74"/>
  <c r="D73"/>
  <c r="U78"/>
  <c r="D75"/>
  <c r="W77"/>
  <c r="U73"/>
  <c r="U77"/>
  <c r="T76"/>
  <c r="BG73"/>
  <c r="O76"/>
  <c r="BF77"/>
  <c r="W73"/>
  <c r="T78"/>
  <c r="BE73"/>
  <c r="DV70"/>
  <c r="O74"/>
  <c r="W78"/>
  <c r="O77"/>
  <c r="D78"/>
  <c r="O73"/>
  <c r="W74"/>
  <c r="U74"/>
  <c r="T75"/>
  <c r="Q78"/>
  <c r="AG72"/>
  <c r="AH75"/>
  <c r="BA76"/>
  <c r="BE77"/>
  <c r="BF76"/>
  <c r="BG77"/>
  <c r="Z76"/>
  <c r="BP76"/>
  <c r="AC75"/>
  <c r="AE75" s="1"/>
  <c r="BB77"/>
  <c r="BI76"/>
  <c r="BV78"/>
  <c r="BW76"/>
  <c r="BX77"/>
  <c r="BY76"/>
  <c r="BZ77"/>
  <c r="CA76"/>
  <c r="CB77"/>
  <c r="CD76"/>
  <c r="CE77"/>
  <c r="CF76"/>
  <c r="CG77"/>
  <c r="CH76"/>
  <c r="CI77"/>
  <c r="CJ76"/>
  <c r="CM77"/>
  <c r="CN77"/>
  <c r="CO76"/>
  <c r="CQ77"/>
  <c r="CS76"/>
  <c r="CT77"/>
  <c r="CU77"/>
  <c r="CV77"/>
  <c r="CW77"/>
  <c r="CY76"/>
  <c r="CZ77"/>
  <c r="DA77"/>
  <c r="DB77"/>
  <c r="DC77"/>
  <c r="DD77"/>
  <c r="DE77"/>
  <c r="DF77"/>
  <c r="DG77"/>
  <c r="DH77"/>
  <c r="DI77"/>
  <c r="DJ77"/>
  <c r="DL77"/>
  <c r="DM77"/>
  <c r="DN77"/>
  <c r="DO77"/>
  <c r="DP77"/>
  <c r="DQ77"/>
  <c r="DT77"/>
  <c r="DU77"/>
  <c r="AG73"/>
  <c r="AH77"/>
  <c r="AI73"/>
  <c r="BE76"/>
  <c r="BF78"/>
  <c r="BG76"/>
  <c r="Z75"/>
  <c r="BP78"/>
  <c r="AC77"/>
  <c r="AE77" s="1"/>
  <c r="BI78"/>
  <c r="BV77"/>
  <c r="BW78"/>
  <c r="BX76"/>
  <c r="BY78"/>
  <c r="BZ76"/>
  <c r="CA78"/>
  <c r="CB76"/>
  <c r="CD78"/>
  <c r="CE76"/>
  <c r="CF78"/>
  <c r="CG76"/>
  <c r="CH78"/>
  <c r="CI76"/>
  <c r="CJ78"/>
  <c r="CM76"/>
  <c r="CN76"/>
  <c r="CO78"/>
  <c r="CQ76"/>
  <c r="CS78"/>
  <c r="CT76"/>
  <c r="CU76"/>
  <c r="CV76"/>
  <c r="CW76"/>
  <c r="CY78"/>
  <c r="CZ76"/>
  <c r="DA76"/>
  <c r="DB76"/>
  <c r="DC76"/>
  <c r="DD76"/>
  <c r="DE76"/>
  <c r="DF76"/>
  <c r="DG76"/>
  <c r="DH76"/>
  <c r="DI76"/>
  <c r="DJ76"/>
  <c r="DL76"/>
  <c r="DM76"/>
  <c r="DN76"/>
  <c r="DO76"/>
  <c r="DP76"/>
  <c r="DQ76"/>
  <c r="DT76"/>
  <c r="DU76"/>
  <c r="BA78"/>
  <c r="E78"/>
  <c r="AG74"/>
  <c r="AH76"/>
  <c r="AI77"/>
  <c r="Z78"/>
  <c r="AC78"/>
  <c r="BB72"/>
  <c r="BV72"/>
  <c r="BW71"/>
  <c r="BX71"/>
  <c r="BY71"/>
  <c r="BZ71"/>
  <c r="CA71"/>
  <c r="CB71"/>
  <c r="CD71"/>
  <c r="CE71"/>
  <c r="CF71"/>
  <c r="CG71"/>
  <c r="CH71"/>
  <c r="CI71"/>
  <c r="CJ71"/>
  <c r="CM71"/>
  <c r="CN71"/>
  <c r="CO71"/>
  <c r="CQ71"/>
  <c r="CS71"/>
  <c r="CT71"/>
  <c r="CU71"/>
  <c r="CV71"/>
  <c r="CW71"/>
  <c r="CY71"/>
  <c r="CZ71"/>
  <c r="DA71"/>
  <c r="DB71"/>
  <c r="DC71"/>
  <c r="DD71"/>
  <c r="DE71"/>
  <c r="DF71"/>
  <c r="DG71"/>
  <c r="DH71"/>
  <c r="DI71"/>
  <c r="DJ71"/>
  <c r="DL71"/>
  <c r="DM71"/>
  <c r="DN71"/>
  <c r="DO71"/>
  <c r="DP71"/>
  <c r="DQ71"/>
  <c r="DT71"/>
  <c r="DU71"/>
  <c r="C77"/>
  <c r="AH72"/>
  <c r="AI74"/>
  <c r="BA72"/>
  <c r="BE72"/>
  <c r="BF72"/>
  <c r="BG72"/>
  <c r="BP72"/>
  <c r="AE71"/>
  <c r="BB73"/>
  <c r="BI72"/>
  <c r="BV73"/>
  <c r="BW72"/>
  <c r="BX72"/>
  <c r="BY72"/>
  <c r="BZ72"/>
  <c r="CA72"/>
  <c r="CB72"/>
  <c r="CD72"/>
  <c r="CE72"/>
  <c r="CF72"/>
  <c r="CG72"/>
  <c r="CH72"/>
  <c r="CI72"/>
  <c r="CJ72"/>
  <c r="CM72"/>
  <c r="CN72"/>
  <c r="CO72"/>
  <c r="CQ72"/>
  <c r="CS72"/>
  <c r="CT72"/>
  <c r="CU72"/>
  <c r="CV72"/>
  <c r="CW72"/>
  <c r="CY72"/>
  <c r="CZ72"/>
  <c r="DA72"/>
  <c r="DB72"/>
  <c r="DC72"/>
  <c r="DD72"/>
  <c r="DE72"/>
  <c r="DF72"/>
  <c r="DG72"/>
  <c r="DH72"/>
  <c r="DI72"/>
  <c r="DJ72"/>
  <c r="DL72"/>
  <c r="DM72"/>
  <c r="DN72"/>
  <c r="DO72"/>
  <c r="DP72"/>
  <c r="DQ72"/>
  <c r="DT72"/>
  <c r="DU72"/>
  <c r="AH73"/>
  <c r="AI75"/>
  <c r="BA74"/>
  <c r="BE74"/>
  <c r="BF74"/>
  <c r="BG74"/>
  <c r="Z73"/>
  <c r="BP74"/>
  <c r="AC73"/>
  <c r="AE73" s="1"/>
  <c r="BB75"/>
  <c r="BI74"/>
  <c r="BV75"/>
  <c r="BW74"/>
  <c r="BX74"/>
  <c r="BY74"/>
  <c r="BZ74"/>
  <c r="CA74"/>
  <c r="CB74"/>
  <c r="CD74"/>
  <c r="CE74"/>
  <c r="CF74"/>
  <c r="CG74"/>
  <c r="CH74"/>
  <c r="CI74"/>
  <c r="CJ74"/>
  <c r="CM74"/>
  <c r="CN74"/>
  <c r="CO74"/>
  <c r="CQ74"/>
  <c r="CS74"/>
  <c r="CT74"/>
  <c r="CU74"/>
  <c r="CV74"/>
  <c r="CW74"/>
  <c r="CY74"/>
  <c r="CZ74"/>
  <c r="DA74"/>
  <c r="DB74"/>
  <c r="DC74"/>
  <c r="DD74"/>
  <c r="DE74"/>
  <c r="DF74"/>
  <c r="DG74"/>
  <c r="DH74"/>
  <c r="DI74"/>
  <c r="DJ74"/>
  <c r="DL74"/>
  <c r="DM74"/>
  <c r="DN74"/>
  <c r="DO74"/>
  <c r="DP74"/>
  <c r="DQ74"/>
  <c r="DT74"/>
  <c r="DU74"/>
  <c r="S70"/>
  <c r="AG75"/>
  <c r="AI76"/>
  <c r="BA75"/>
  <c r="BE75"/>
  <c r="BF75"/>
  <c r="BG75"/>
  <c r="Z74"/>
  <c r="BP75"/>
  <c r="AC74"/>
  <c r="AE74" s="1"/>
  <c r="BB76"/>
  <c r="BI75"/>
  <c r="BV76"/>
  <c r="BW75"/>
  <c r="BX75"/>
  <c r="BY75"/>
  <c r="BZ75"/>
  <c r="CA75"/>
  <c r="CB75"/>
  <c r="CD75"/>
  <c r="CE75"/>
  <c r="CF75"/>
  <c r="CG75"/>
  <c r="CH75"/>
  <c r="CI75"/>
  <c r="CJ75"/>
  <c r="CM75"/>
  <c r="CN75"/>
  <c r="CO75"/>
  <c r="CQ75"/>
  <c r="CS75"/>
  <c r="CT75"/>
  <c r="CU75"/>
  <c r="CV75"/>
  <c r="CW75"/>
  <c r="CY75"/>
  <c r="CZ75"/>
  <c r="DA75"/>
  <c r="DB75"/>
  <c r="DC75"/>
  <c r="DD75"/>
  <c r="DE75"/>
  <c r="DF75"/>
  <c r="DG75"/>
  <c r="DH75"/>
  <c r="DI75"/>
  <c r="DJ75"/>
  <c r="DL75"/>
  <c r="DM75"/>
  <c r="DN75"/>
  <c r="DO75"/>
  <c r="DP75"/>
  <c r="DQ75"/>
  <c r="DT75"/>
  <c r="DU75"/>
  <c r="AG76"/>
  <c r="AI72"/>
  <c r="BA73"/>
  <c r="BE78"/>
  <c r="BF73"/>
  <c r="BG78"/>
  <c r="Z77"/>
  <c r="BP73"/>
  <c r="AC72"/>
  <c r="AE72" s="1"/>
  <c r="BB74"/>
  <c r="BI73"/>
  <c r="BV71"/>
  <c r="BW73"/>
  <c r="BX78"/>
  <c r="BY73"/>
  <c r="BZ78"/>
  <c r="CA73"/>
  <c r="CB78"/>
  <c r="CD73"/>
  <c r="CE78"/>
  <c r="CF73"/>
  <c r="CG78"/>
  <c r="CH73"/>
  <c r="CI78"/>
  <c r="CJ73"/>
  <c r="CM78"/>
  <c r="CN78"/>
  <c r="CO73"/>
  <c r="CQ78"/>
  <c r="CS73"/>
  <c r="CT78"/>
  <c r="CU78"/>
  <c r="CV78"/>
  <c r="CW78"/>
  <c r="CY73"/>
  <c r="CZ78"/>
  <c r="DA78"/>
  <c r="DB78"/>
  <c r="DC78"/>
  <c r="DD78"/>
  <c r="DE78"/>
  <c r="DF78"/>
  <c r="DG78"/>
  <c r="DH78"/>
  <c r="DI78"/>
  <c r="DJ78"/>
  <c r="DL78"/>
  <c r="DM78"/>
  <c r="DN78"/>
  <c r="DO78"/>
  <c r="DP78"/>
  <c r="DQ78"/>
  <c r="DT78"/>
  <c r="DU78"/>
  <c r="AG77"/>
  <c r="AH74"/>
  <c r="G76"/>
  <c r="N78"/>
  <c r="X73"/>
  <c r="Q73"/>
  <c r="E73"/>
  <c r="X76"/>
  <c r="C73"/>
  <c r="G75"/>
  <c r="L73"/>
  <c r="X75"/>
  <c r="Q75"/>
  <c r="E75"/>
  <c r="M78"/>
  <c r="G78"/>
  <c r="X77"/>
  <c r="C75"/>
  <c r="G74"/>
  <c r="Q76"/>
  <c r="E76"/>
  <c r="L75"/>
  <c r="C76"/>
  <c r="Q74"/>
  <c r="E74"/>
  <c r="L76"/>
  <c r="C74"/>
  <c r="G77"/>
  <c r="C78"/>
  <c r="L74"/>
  <c r="Q77"/>
  <c r="E77"/>
  <c r="X74"/>
  <c r="G73"/>
  <c r="L77"/>
  <c r="BM120"/>
  <c r="S66"/>
  <c r="AQ39"/>
  <c r="H716" i="2"/>
  <c r="G12" i="16"/>
  <c r="S50" i="3"/>
  <c r="AQ40"/>
  <c r="AE39"/>
  <c r="AU73"/>
  <c r="AU77"/>
  <c r="AU74"/>
  <c r="AU76"/>
  <c r="AU75"/>
  <c r="AU72"/>
  <c r="S62"/>
  <c r="S64"/>
  <c r="AQ7" i="4928"/>
  <c r="F6"/>
  <c r="F7"/>
  <c r="S52" i="3"/>
  <c r="S60"/>
  <c r="H562" i="2"/>
  <c r="H592"/>
  <c r="H654"/>
  <c r="H623"/>
  <c r="S48" i="3"/>
  <c r="S56"/>
  <c r="X39"/>
  <c r="AI39"/>
  <c r="G40"/>
  <c r="T40"/>
  <c r="X40"/>
  <c r="CN39"/>
  <c r="AJ39"/>
  <c r="T39"/>
  <c r="G39"/>
  <c r="AI40"/>
  <c r="CW39"/>
  <c r="DF39"/>
  <c r="S7"/>
  <c r="AJ40"/>
  <c r="DE40"/>
  <c r="DP40"/>
  <c r="S57"/>
  <c r="S63"/>
  <c r="S104"/>
  <c r="S105"/>
  <c r="S58"/>
  <c r="AE7" i="4928"/>
  <c r="BH7"/>
  <c r="AN6"/>
  <c r="G6"/>
  <c r="S54" i="3"/>
  <c r="H685" i="2"/>
  <c r="BY40" i="3"/>
  <c r="U39"/>
  <c r="AH39"/>
  <c r="AG39"/>
  <c r="Q39"/>
  <c r="AG40"/>
  <c r="E40"/>
  <c r="Q40"/>
  <c r="U40"/>
  <c r="AH40"/>
  <c r="BY39"/>
  <c r="CH39"/>
  <c r="DC40"/>
  <c r="DL40"/>
  <c r="S61"/>
  <c r="S100"/>
  <c r="S106"/>
  <c r="DV108"/>
  <c r="AE6" i="4928"/>
  <c r="AQ6"/>
  <c r="BH6"/>
  <c r="G7"/>
  <c r="AN7"/>
  <c r="DL7"/>
  <c r="H531" i="2"/>
  <c r="H438"/>
  <c r="U322"/>
  <c r="DZ588"/>
  <c r="G3" i="16"/>
  <c r="G9"/>
  <c r="DZ564" i="2"/>
  <c r="DL6" i="4928"/>
  <c r="S51" i="3"/>
  <c r="S49"/>
  <c r="S53"/>
  <c r="S107"/>
  <c r="S59"/>
  <c r="N46"/>
  <c r="N39"/>
  <c r="N40"/>
  <c r="N120"/>
  <c r="M120"/>
  <c r="S101"/>
  <c r="K39"/>
  <c r="J39"/>
  <c r="L39"/>
  <c r="M46"/>
  <c r="M39"/>
  <c r="M40"/>
  <c r="O120"/>
  <c r="L40"/>
  <c r="S5"/>
  <c r="BV120"/>
  <c r="DV120" s="1"/>
  <c r="E39"/>
  <c r="CZ39"/>
  <c r="DD39"/>
  <c r="DQ39"/>
  <c r="S9"/>
  <c r="DW9" s="1"/>
  <c r="DW22"/>
  <c r="S8"/>
  <c r="S10"/>
  <c r="DW10" s="1"/>
  <c r="S55"/>
  <c r="S65"/>
  <c r="AE120"/>
  <c r="AN40"/>
  <c r="AE40"/>
  <c r="G8" i="16"/>
  <c r="G7"/>
  <c r="S6" i="3"/>
  <c r="CA39"/>
  <c r="CV39"/>
  <c r="DN39"/>
  <c r="CJ39"/>
  <c r="CT40"/>
  <c r="DU39"/>
  <c r="J47"/>
  <c r="BM39"/>
  <c r="BM47"/>
  <c r="BM40"/>
  <c r="CD40"/>
  <c r="CY39"/>
  <c r="DG39"/>
  <c r="H47"/>
  <c r="H40"/>
  <c r="I47"/>
  <c r="I40"/>
  <c r="R47"/>
  <c r="R40"/>
  <c r="BX40"/>
  <c r="CB40"/>
  <c r="CG40"/>
  <c r="CM40"/>
  <c r="CS40"/>
  <c r="DB40"/>
  <c r="DJ40"/>
  <c r="DO40"/>
  <c r="DT40"/>
  <c r="S108"/>
  <c r="F40"/>
  <c r="F47"/>
  <c r="K47"/>
  <c r="P40"/>
  <c r="P47"/>
  <c r="DV6"/>
  <c r="BV40"/>
  <c r="BZ40"/>
  <c r="CE40"/>
  <c r="CI40"/>
  <c r="CO40"/>
  <c r="CU40"/>
  <c r="DH40"/>
  <c r="DM40"/>
  <c r="S88"/>
  <c r="S92"/>
  <c r="S96"/>
  <c r="AE108"/>
  <c r="AQ108"/>
  <c r="S87"/>
  <c r="S91"/>
  <c r="S95"/>
  <c r="S99"/>
  <c r="S103"/>
  <c r="S86"/>
  <c r="S90"/>
  <c r="S94"/>
  <c r="S98"/>
  <c r="S102"/>
  <c r="AN108"/>
  <c r="S85"/>
  <c r="S89"/>
  <c r="S93"/>
  <c r="S97"/>
  <c r="AN39"/>
  <c r="S67"/>
  <c r="AQ120"/>
  <c r="DV66"/>
  <c r="E817" i="2"/>
  <c r="G817" s="1"/>
  <c r="H817"/>
  <c r="J7" i="4928" l="1"/>
  <c r="J6"/>
  <c r="DV78" i="3"/>
  <c r="K78"/>
  <c r="K75"/>
  <c r="K73"/>
  <c r="K77"/>
  <c r="K74"/>
  <c r="K76"/>
  <c r="I78"/>
  <c r="I73"/>
  <c r="I77"/>
  <c r="I74"/>
  <c r="I76"/>
  <c r="I75"/>
  <c r="N77"/>
  <c r="N73"/>
  <c r="N75"/>
  <c r="N76"/>
  <c r="N74"/>
  <c r="M77"/>
  <c r="M73"/>
  <c r="M75"/>
  <c r="M76"/>
  <c r="M74"/>
  <c r="P78"/>
  <c r="P73"/>
  <c r="P77"/>
  <c r="P74"/>
  <c r="P76"/>
  <c r="P75"/>
  <c r="R78"/>
  <c r="R73"/>
  <c r="R77"/>
  <c r="R74"/>
  <c r="R76"/>
  <c r="R75"/>
  <c r="J78"/>
  <c r="J73"/>
  <c r="J77"/>
  <c r="J74"/>
  <c r="J76"/>
  <c r="J75"/>
  <c r="H78"/>
  <c r="H73"/>
  <c r="H77"/>
  <c r="H74"/>
  <c r="H76"/>
  <c r="H75"/>
  <c r="F78"/>
  <c r="F73"/>
  <c r="F77"/>
  <c r="F74"/>
  <c r="F76"/>
  <c r="F75"/>
  <c r="G5" i="16"/>
  <c r="G6"/>
  <c r="S120" i="3"/>
  <c r="W7" i="4928"/>
  <c r="W6"/>
  <c r="X6"/>
  <c r="X7"/>
  <c r="H6"/>
  <c r="H7"/>
  <c r="DW19" i="3"/>
  <c r="S46"/>
  <c r="U6" i="4928"/>
  <c r="U7"/>
  <c r="S40" i="3"/>
  <c r="DV39"/>
  <c r="DV47"/>
  <c r="S47"/>
  <c r="G2" i="16"/>
  <c r="DW18" i="3"/>
  <c r="S39"/>
  <c r="G4" i="16"/>
  <c r="DW20" i="3"/>
  <c r="DV76"/>
  <c r="DV74"/>
  <c r="DV73"/>
  <c r="DV77"/>
  <c r="DV71"/>
  <c r="DV72"/>
  <c r="DV75"/>
  <c r="S6" i="4928" l="1"/>
  <c r="S7"/>
  <c r="S78" i="3"/>
  <c r="S77"/>
  <c r="S76"/>
  <c r="S71"/>
  <c r="S73"/>
  <c r="S74"/>
  <c r="S75"/>
</calcChain>
</file>

<file path=xl/comments1.xml><?xml version="1.0" encoding="utf-8"?>
<comments xmlns="http://schemas.openxmlformats.org/spreadsheetml/2006/main">
  <authors>
    <author>A satisfied Microsoft Office user</author>
    <author>Ken Hansen - Administrative Rules</author>
    <author>DTS</author>
    <author>Ken Hansen</author>
    <author>Administrative Code Editor</author>
    <author>ewood</author>
    <author>Admin Code Editor</author>
    <author>NLANCAST</author>
    <author xml:space="preserve"> </author>
    <author>MBROSCHI</author>
    <author>Nancy</author>
    <author>NLANCASTER</author>
    <author>khansen</author>
  </authors>
  <commentList>
    <comment ref="F3" authorId="0">
      <text>
        <r>
          <rPr>
            <sz val="8"/>
            <color indexed="81"/>
            <rFont val="Arial"/>
            <family val="2"/>
          </rPr>
          <t>Called "Repeal and Enact" from 1987 until April 29, 1996, when S.B. 25 went into effect and changed the term to "Repeal and Reenact".</t>
        </r>
      </text>
    </comment>
    <comment ref="I3" authorId="1">
      <text>
        <r>
          <rPr>
            <sz val="8"/>
            <color indexed="81"/>
            <rFont val="Tahoma"/>
            <family val="2"/>
          </rPr>
          <t>Expedited Rules are filed by only one agency--School and Institutional Trust Lands--under authority of Utah Code Subsection 53C-1-201(3)(ii).</t>
        </r>
      </text>
    </comment>
    <comment ref="M3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N3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Q3" authorId="0">
      <text>
        <r>
          <rPr>
            <sz val="8"/>
            <color indexed="81"/>
            <rFont val="Arial"/>
            <family val="2"/>
          </rPr>
          <t>"Invalid" indicates rules that the Division subsequently discovered did not comply with all procedural requirements of the Rulemaking Act.  (e.g., an agency files a CPR on a rule that it already made effective.)</t>
        </r>
      </text>
    </comment>
    <comment ref="W3" authorId="3">
      <text>
        <r>
          <rPr>
            <b/>
            <sz val="8"/>
            <color indexed="81"/>
            <rFont val="Tahoma"/>
            <family val="2"/>
          </rPr>
          <t>"TLTP" means To Long To Print:</t>
        </r>
        <r>
          <rPr>
            <sz val="8"/>
            <color indexed="81"/>
            <rFont val="Tahoma"/>
            <family val="2"/>
          </rPr>
          <t xml:space="preserve">
Because of the page limits in the printed Bulletin, sometimes text that is filed must be omitted.  This is authorized by Subsection 63-46a-10(1)(d).  TLTPs include:  a rule for which no text was published; a R&amp;R for which the repealed text was not published; an AMD for which deleted sections were not published.</t>
        </r>
      </text>
    </comment>
    <comment ref="AI3" authorId="0">
      <text>
        <r>
          <rPr>
            <sz val="8"/>
            <color indexed="81"/>
            <rFont val="Arial"/>
            <family val="2"/>
          </rPr>
          <t>"Total Bulletin Pages" includes the title page (2 pages).</t>
        </r>
      </text>
    </comment>
    <comment ref="AJ3" authorId="0">
      <text>
        <r>
          <rPr>
            <sz val="8"/>
            <color indexed="81"/>
            <rFont val="Arial"/>
            <family val="2"/>
          </rPr>
          <t>"Total Digest Pages" does not include the cover (4 pages) or title page (2 pages).</t>
        </r>
      </text>
    </comment>
    <comment ref="AR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On 4/18/2002, the Division discovered that Lyris modifies historical records of recipients.  Staff went back and pulled correct subscription data from Delivery Notifications sent to the List Administrator by E-mail at the time of delivery.  Statistics now maintained in the file named "admin_rules_digest-listserv-stats.xls".</t>
        </r>
      </text>
    </comment>
    <comment ref="AV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This column is NOT the sum of the previous three columns.  Data for these columns are available in the file named "WebWatch-stats.xls".</t>
        </r>
      </text>
    </comment>
    <comment ref="BE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Includes AMD, NSC, R&amp;R, 5YR, EXPED (unless making a new rule or repealing a rule)</t>
        </r>
      </text>
    </comment>
    <comment ref="BF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Could include EXPED new rules</t>
        </r>
      </text>
    </comment>
    <comment ref="BG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Could include expedited repeals</t>
        </r>
      </text>
    </comment>
    <comment ref="CE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Community and Culture was created by the passage of H.B. 318 (2005).  Superseded by Heritage and Arts by passage of H.B. 139 (2012).</t>
        </r>
      </text>
    </comment>
    <comment ref="CP3" authorId="3">
      <text>
        <r>
          <rPr>
            <b/>
            <sz val="9"/>
            <color indexed="81"/>
            <rFont val="Tahoma"/>
            <family val="2"/>
          </rPr>
          <t>Ken Hansen:</t>
        </r>
        <r>
          <rPr>
            <sz val="9"/>
            <color indexed="81"/>
            <rFont val="Tahoma"/>
            <family val="2"/>
          </rPr>
          <t xml:space="preserve">
Heritage and Arts created by passage of H.B. 139 (2012).</t>
        </r>
      </text>
    </comment>
    <comment ref="AA157" authorId="0">
      <text>
        <r>
          <rPr>
            <sz val="10"/>
            <color indexed="81"/>
            <rFont val="Tahoma"/>
            <family val="2"/>
          </rPr>
          <t>Text for the Nov. 1, 1992, Bulletin was not printed.  The text remained uncorrected and unformatted.  Therefore, this figure is smaller than it otherwise would have been.</t>
        </r>
      </text>
    </comment>
    <comment ref="AA158" authorId="0">
      <text>
        <r>
          <rPr>
            <sz val="10"/>
            <color indexed="81"/>
            <rFont val="Tahoma"/>
            <family val="2"/>
          </rPr>
          <t>Text for the Nov. 15, 1992, Bulletin was not printed.  The text remained uncorrected and unformatted.  Therefore, this figure is smaller than it otherwise would have been.</t>
        </r>
      </text>
    </comment>
    <comment ref="O252" authorId="0">
      <text>
        <r>
          <rPr>
            <sz val="10"/>
            <color indexed="81"/>
            <rFont val="Tahoma"/>
            <family val="2"/>
          </rPr>
          <t>This is the first time since July 15, 1988, that there have been no nonsubstantive changes for a Bulletin.</t>
        </r>
      </text>
    </comment>
    <comment ref="BG279" authorId="0">
      <text>
        <r>
          <rPr>
            <sz val="10"/>
            <color indexed="81"/>
            <rFont val="Tahoma"/>
            <family val="2"/>
          </rPr>
          <t>Please note that two expired rules were removed from the code for the February 1 update.  These were R636-7 and R636-8, which expired because of noncompliance with the five-year review requirement (see Utah Code Subsection 63-46a-9(7)).</t>
        </r>
      </text>
    </comment>
    <comment ref="AI286" authorId="0">
      <text>
        <r>
          <rPr>
            <sz val="10"/>
            <color indexed="81"/>
            <rFont val="Tahoma"/>
            <family val="2"/>
          </rPr>
          <t>Text font size was dropped to 8.5 and all repealed rules were omited.</t>
        </r>
      </text>
    </comment>
    <comment ref="AI287" authorId="0">
      <text>
        <r>
          <rPr>
            <sz val="10"/>
            <color indexed="81"/>
            <rFont val="Tahoma"/>
            <family val="2"/>
          </rPr>
          <t>Text font size was dropped to 8 pt and all repealed text was omitted.</t>
        </r>
      </text>
    </comment>
    <comment ref="BM306" authorId="0">
      <text>
        <r>
          <rPr>
            <sz val="10"/>
            <color indexed="81"/>
            <rFont val="Tahoma"/>
            <family val="2"/>
          </rPr>
          <t>Printed pages of the code (*not* from published version): 8103 (one inch margins, continuous text, courier 12pt)</t>
        </r>
      </text>
    </comment>
    <comment ref="BM364" authorId="5">
      <text>
        <r>
          <rPr>
            <sz val="8"/>
            <color indexed="81"/>
            <rFont val="Tahoma"/>
            <family val="2"/>
          </rPr>
          <t>Page count for 1/1/2000 UAC of 4,109 includes 251 pages from v. 10 that constitutes indexes, tables, etc.</t>
        </r>
      </text>
    </comment>
    <comment ref="W372" authorId="3">
      <text>
        <r>
          <rPr>
            <b/>
            <sz val="8"/>
            <color indexed="81"/>
            <rFont val="Tahoma"/>
            <family val="2"/>
          </rPr>
          <t>2000-05-01 TLTP</t>
        </r>
        <r>
          <rPr>
            <sz val="8"/>
            <color indexed="81"/>
            <rFont val="Tahoma"/>
            <family val="2"/>
          </rPr>
          <t xml:space="preserve">
22774, R315-3, R&amp;R</t>
        </r>
      </text>
    </comment>
    <comment ref="BB385" authorId="5">
      <text>
        <r>
          <rPr>
            <sz val="8"/>
            <color indexed="81"/>
            <rFont val="Tahoma"/>
            <family val="2"/>
          </rPr>
          <t>Beginning with the September 2000 update, all rule files were saved in WordPerfect 5.1 using the full-formatted save, rather than the fast-save format, which explains the almost 10 MB in size.</t>
        </r>
      </text>
    </comment>
    <comment ref="BG403" authorId="6">
      <text>
        <r>
          <rPr>
            <b/>
            <sz val="8"/>
            <color indexed="81"/>
            <rFont val="Tahoma"/>
            <family val="2"/>
          </rPr>
          <t>Admin Code Editor:</t>
        </r>
        <r>
          <rPr>
            <sz val="8"/>
            <color indexed="81"/>
            <rFont val="Tahoma"/>
            <family val="2"/>
          </rPr>
          <t xml:space="preserve">
These are actually 3 expirations under Title R674</t>
        </r>
      </text>
    </comment>
    <comment ref="AJ415" authorId="3">
      <text>
        <r>
          <rPr>
            <sz val="8"/>
            <color indexed="81"/>
            <rFont val="Tahoma"/>
            <family val="2"/>
          </rPr>
          <t>The 9/15/2001 issue of Digest was the last paper edition.</t>
        </r>
      </text>
    </comment>
    <comment ref="A416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Filings submitted for the 10/1/2001 Bulletin were submitted using eRules.</t>
        </r>
      </text>
    </comment>
    <comment ref="Z416" authorId="3">
      <text>
        <r>
          <rPr>
            <sz val="8"/>
            <color indexed="81"/>
            <rFont val="Tahoma"/>
            <family val="2"/>
          </rPr>
          <t>eRules went online on 9/1/2001 @ 12:00 AM.  Beginning with the 10/1/2001 issue, the Bulletin file is generated using Word2000.</t>
        </r>
      </text>
    </comment>
    <comment ref="AC416" authorId="3">
      <text>
        <r>
          <rPr>
            <sz val="8"/>
            <color indexed="81"/>
            <rFont val="Tahoma"/>
            <family val="2"/>
          </rPr>
          <t>eRules went online on 9/1/2001 @ 12:00 AM.  Beginning with the 10/1/2001 issue, rule text is submitted in RTF format.</t>
        </r>
      </text>
    </comment>
    <comment ref="S419" authorId="3">
      <text>
        <r>
          <rPr>
            <b/>
            <sz val="9"/>
            <color indexed="81"/>
            <rFont val="Tahoma"/>
            <family val="2"/>
          </rPr>
          <t>Ken Hansen:</t>
        </r>
        <r>
          <rPr>
            <sz val="9"/>
            <color indexed="81"/>
            <rFont val="Tahoma"/>
            <family val="2"/>
          </rPr>
          <t xml:space="preserve">
10/3/2012:  Stats originally reported 58 filings for the 11/15/2001 Bulletin with 12 NSC, 2 Invalid, 1 Void, and 0 Withdrawn.  Reviewed data from eRules DB on 10/3/2012.  eRules shows 59 filings with 11 NSC, 3 Invalid, 1 Void, and 1 Withdrawn.</t>
        </r>
      </text>
    </comment>
    <comment ref="S434" authorId="3">
      <text>
        <r>
          <rPr>
            <b/>
            <sz val="9"/>
            <color indexed="81"/>
            <rFont val="Tahoma"/>
            <family val="2"/>
          </rPr>
          <t>Ken Hansen:</t>
        </r>
        <r>
          <rPr>
            <sz val="9"/>
            <color indexed="81"/>
            <rFont val="Tahoma"/>
            <family val="2"/>
          </rPr>
          <t xml:space="preserve">
Data compared with eRules DB on 10/3/2012.  Found reporting error in 11/15/2001 Bulletin as noted.</t>
        </r>
      </text>
    </comment>
    <comment ref="W441" authorId="3">
      <text>
        <r>
          <rPr>
            <b/>
            <sz val="8"/>
            <color indexed="81"/>
            <rFont val="Tahoma"/>
            <family val="2"/>
          </rPr>
          <t>2002-07-01 TLTP</t>
        </r>
        <r>
          <rPr>
            <sz val="8"/>
            <color indexed="81"/>
            <rFont val="Tahoma"/>
            <family val="2"/>
          </rPr>
          <t xml:space="preserve">
24931, R27-7, R&amp;R; 24979, R309-101, AMD; 24985, R309-102, AMD; 24986, R309-103, AMD; 24984, R309-104, AMD; 24923, R657-32, REP</t>
        </r>
      </text>
    </comment>
    <comment ref="W448" authorId="3">
      <text>
        <r>
          <rPr>
            <b/>
            <sz val="8"/>
            <color indexed="81"/>
            <rFont val="Tahoma"/>
            <family val="2"/>
          </rPr>
          <t>2002-10-15 TLTP</t>
        </r>
        <r>
          <rPr>
            <sz val="8"/>
            <color indexed="81"/>
            <rFont val="Tahoma"/>
            <family val="2"/>
          </rPr>
          <t xml:space="preserve">
25423, R547-2, REP; 25414, R547-4, REP</t>
        </r>
      </text>
    </comment>
    <comment ref="W449" authorId="3">
      <text>
        <r>
          <rPr>
            <b/>
            <sz val="8"/>
            <color indexed="81"/>
            <rFont val="Tahoma"/>
            <family val="2"/>
          </rPr>
          <t>2002-11-01 TLTP</t>
        </r>
        <r>
          <rPr>
            <sz val="8"/>
            <color indexed="81"/>
            <rFont val="Tahoma"/>
            <family val="2"/>
          </rPr>
          <t xml:space="preserve">
25501, R156-46b-402, AMD; 25483, R590-165, REP; 25498, R671-208, REP; 25499, R671-307, REP; 25497, R671-317, REP.</t>
        </r>
      </text>
    </comment>
    <comment ref="BG474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2 expired rules</t>
        </r>
      </text>
    </comment>
    <comment ref="BG554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Expired R912-8</t>
        </r>
      </text>
    </comment>
    <comment ref="AH595" authorId="7">
      <text>
        <r>
          <rPr>
            <b/>
            <sz val="8"/>
            <color indexed="81"/>
            <rFont val="Tahoma"/>
            <family val="2"/>
          </rPr>
          <t>NLANCAST:</t>
        </r>
        <r>
          <rPr>
            <sz val="8"/>
            <color indexed="81"/>
            <rFont val="Tahoma"/>
            <family val="2"/>
          </rPr>
          <t xml:space="preserve">
Index was really 88 pages but had to be put in 6 pt type to fit in Bulletin.</t>
        </r>
      </text>
    </comment>
    <comment ref="AH603" authorId="7">
      <text>
        <r>
          <rPr>
            <b/>
            <sz val="8"/>
            <color indexed="81"/>
            <rFont val="Tahoma"/>
            <family val="2"/>
          </rPr>
          <t>NLANCAST:</t>
        </r>
        <r>
          <rPr>
            <sz val="8"/>
            <color indexed="81"/>
            <rFont val="Tahoma"/>
            <family val="2"/>
          </rPr>
          <t xml:space="preserve">
Keyword index not printed, total was 139 pages for the entire index</t>
        </r>
      </text>
    </comment>
    <comment ref="AH604" authorId="7">
      <text>
        <r>
          <rPr>
            <b/>
            <sz val="8"/>
            <color indexed="81"/>
            <rFont val="Tahoma"/>
            <family val="2"/>
          </rPr>
          <t>NLANCAST:</t>
        </r>
        <r>
          <rPr>
            <sz val="8"/>
            <color indexed="81"/>
            <rFont val="Tahoma"/>
            <family val="2"/>
          </rPr>
          <t xml:space="preserve">
Keyword Index was not printed, total was 145 pages for the entire index.</t>
        </r>
      </text>
    </comment>
    <comment ref="AH605" authorId="7">
      <text>
        <r>
          <rPr>
            <b/>
            <sz val="8"/>
            <color indexed="81"/>
            <rFont val="Tahoma"/>
            <family val="2"/>
          </rPr>
          <t>NLANCAST:</t>
        </r>
        <r>
          <rPr>
            <sz val="8"/>
            <color indexed="81"/>
            <rFont val="Tahoma"/>
            <family val="2"/>
          </rPr>
          <t xml:space="preserve">
Keyword Index was not printed, total was 151 pages for the entire index</t>
        </r>
      </text>
    </comment>
    <comment ref="AH607" authorId="7">
      <text>
        <r>
          <rPr>
            <b/>
            <sz val="8"/>
            <color indexed="81"/>
            <rFont val="Tahoma"/>
            <family val="2"/>
          </rPr>
          <t>NLANCAST:</t>
        </r>
        <r>
          <rPr>
            <sz val="8"/>
            <color indexed="81"/>
            <rFont val="Tahoma"/>
            <family val="2"/>
          </rPr>
          <t xml:space="preserve">
Keyword Index was not printed, total was 155 pages for the entire index</t>
        </r>
      </text>
    </comment>
    <comment ref="AH634" authorId="8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Keyword Index was not printed, total of 121 pages for the entire index</t>
        </r>
      </text>
    </comment>
    <comment ref="AH638" authorId="8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Index could not be done so complete 2008 will be in January 15 Bulletin</t>
        </r>
      </text>
    </comment>
    <comment ref="A660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The 8/15/2009 Bulletin is the first issue produced with eRules v. 2, which went live 7/16/2009.</t>
        </r>
      </text>
    </comment>
    <comment ref="Z660" authorId="8">
      <text>
        <r>
          <rPr>
            <b/>
            <sz val="8"/>
            <color indexed="81"/>
            <rFont val="Tahoma"/>
            <family val="2"/>
          </rPr>
          <t>Nancy Lancaster:</t>
        </r>
        <r>
          <rPr>
            <sz val="8"/>
            <color indexed="81"/>
            <rFont val="Tahoma"/>
            <family val="2"/>
          </rPr>
          <t xml:space="preserve">
Started using OpenOffice to create Bulletin layup.  Now measured in KBs.
</t>
        </r>
      </text>
    </comment>
    <comment ref="AH660" authorId="8">
      <text>
        <r>
          <rPr>
            <b/>
            <sz val="8"/>
            <color indexed="81"/>
            <rFont val="Tahoma"/>
            <family val="2"/>
          </rPr>
          <t>Nancy Lancaster:</t>
        </r>
        <r>
          <rPr>
            <sz val="8"/>
            <color indexed="81"/>
            <rFont val="Tahoma"/>
            <family val="2"/>
          </rPr>
          <t xml:space="preserve">
Using eRules v. 2 and having problems with Index.  Not including in Bulletin for now.</t>
        </r>
      </text>
    </comment>
    <comment ref="BG673" authorId="9">
      <text>
        <r>
          <rPr>
            <b/>
            <sz val="8"/>
            <color indexed="81"/>
            <rFont val="Tahoma"/>
            <family val="2"/>
          </rPr>
          <t>MBROSCHI:</t>
        </r>
        <r>
          <rPr>
            <sz val="8"/>
            <color indexed="81"/>
            <rFont val="Tahoma"/>
            <family val="2"/>
          </rPr>
          <t xml:space="preserve">
Includes an expired rule.</t>
        </r>
      </text>
    </comment>
    <comment ref="BG679" authorId="9">
      <text>
        <r>
          <rPr>
            <b/>
            <sz val="8"/>
            <color indexed="81"/>
            <rFont val="Tahoma"/>
            <family val="2"/>
          </rPr>
          <t>MBROSCHI:</t>
        </r>
        <r>
          <rPr>
            <sz val="8"/>
            <color indexed="81"/>
            <rFont val="Tahoma"/>
            <family val="2"/>
          </rPr>
          <t xml:space="preserve">
Includes an LNR</t>
        </r>
      </text>
    </comment>
    <comment ref="AH725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110 NSCs (name changes from Health) were added so that is why the big jump in pages</t>
        </r>
      </text>
    </comment>
    <comment ref="AH727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Because of space constraints, the Keyword Index was not printed.</t>
        </r>
      </text>
    </comment>
    <comment ref="AH732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2011 Keyword Index not printed and this includes 3 pages of the 2012 Index</t>
        </r>
      </text>
    </comment>
    <comment ref="AH741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Only Agency Index was printed because of space constraints
</t>
        </r>
      </text>
    </comment>
    <comment ref="AH753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Neither Index was included because of space constraints</t>
        </r>
      </text>
    </comment>
    <comment ref="AH757" authorId="11">
      <text>
        <r>
          <rPr>
            <b/>
            <sz val="8"/>
            <color indexed="81"/>
            <rFont val="Tahoma"/>
            <family val="2"/>
          </rPr>
          <t>NLANCASTER:</t>
        </r>
        <r>
          <rPr>
            <sz val="8"/>
            <color indexed="81"/>
            <rFont val="Tahoma"/>
            <family val="2"/>
          </rPr>
          <t xml:space="preserve">
Only Agency Index was printed.
</t>
        </r>
      </text>
    </comment>
    <comment ref="AH759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Only the Agency Index was printed because of space constraints.</t>
        </r>
      </text>
    </comment>
    <comment ref="AV759" authorId="12">
      <text>
        <r>
          <rPr>
            <b/>
            <sz val="9"/>
            <color indexed="81"/>
            <rFont val="Tahoma"/>
            <family val="2"/>
          </rPr>
          <t>khansen:</t>
        </r>
        <r>
          <rPr>
            <sz val="9"/>
            <color indexed="81"/>
            <rFont val="Tahoma"/>
            <family val="2"/>
          </rPr>
          <t xml:space="preserve">
Introduction of Gmail disabled automatic collection of data from WebWatch</t>
        </r>
      </text>
    </comment>
    <comment ref="AH762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Only the Agency Index was printed because of space constraints.</t>
        </r>
      </text>
    </comment>
    <comment ref="AH763" authorId="10">
      <text>
        <r>
          <rPr>
            <b/>
            <sz val="8"/>
            <color indexed="81"/>
            <rFont val="Tahoma"/>
            <family val="2"/>
          </rPr>
          <t>Nancy:</t>
        </r>
        <r>
          <rPr>
            <sz val="8"/>
            <color indexed="81"/>
            <rFont val="Tahoma"/>
            <family val="2"/>
          </rPr>
          <t xml:space="preserve">
Only the Agency Index was printed because of space constraints.</t>
        </r>
      </text>
    </comment>
    <comment ref="AH766" authorId="10">
      <text>
        <r>
          <rPr>
            <b/>
            <sz val="8"/>
            <color indexed="81"/>
            <rFont val="Tahoma"/>
            <charset val="1"/>
          </rPr>
          <t>Nancy:</t>
        </r>
        <r>
          <rPr>
            <sz val="8"/>
            <color indexed="81"/>
            <rFont val="Tahoma"/>
            <charset val="1"/>
          </rPr>
          <t xml:space="preserve">
Neither Index was printed due to space constraints</t>
        </r>
      </text>
    </comment>
    <comment ref="AH771" authorId="10">
      <text>
        <r>
          <rPr>
            <b/>
            <sz val="8"/>
            <color indexed="81"/>
            <rFont val="Tahoma"/>
            <charset val="1"/>
          </rPr>
          <t>Nancy:</t>
        </r>
        <r>
          <rPr>
            <sz val="8"/>
            <color indexed="81"/>
            <rFont val="Tahoma"/>
            <charset val="1"/>
          </rPr>
          <t xml:space="preserve">
Neither Index was printed due to space constraints</t>
        </r>
      </text>
    </comment>
    <comment ref="AH782" authorId="10">
      <text>
        <r>
          <rPr>
            <b/>
            <sz val="8"/>
            <color indexed="81"/>
            <rFont val="Tahoma"/>
            <charset val="1"/>
          </rPr>
          <t>Nancy:</t>
        </r>
        <r>
          <rPr>
            <sz val="8"/>
            <color indexed="81"/>
            <rFont val="Tahoma"/>
            <charset val="1"/>
          </rPr>
          <t xml:space="preserve">
Due to space constraints, neither Index was published in the Bulletin
</t>
        </r>
      </text>
    </comment>
    <comment ref="BM816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The "Printed UAC Pages" Total Average excludes the years for which we did not reprint an entire Administrative Code (1996-1999).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  <author>Ken Hansen - Administrative Rules</author>
    <author>DTS</author>
    <author>Ken Hansen</author>
    <author>Administrative Code Editor</author>
  </authors>
  <commentList>
    <comment ref="F4" authorId="0">
      <text>
        <r>
          <rPr>
            <sz val="8"/>
            <color indexed="81"/>
            <rFont val="Arial"/>
            <family val="2"/>
          </rPr>
          <t>Called "Repeal and Enact" from 1987 until April 29, 1996, when S.B. 25 went into effect and changed the term to "Repeal and Reenact".</t>
        </r>
      </text>
    </comment>
    <comment ref="I4" authorId="1">
      <text>
        <r>
          <rPr>
            <sz val="8"/>
            <color indexed="81"/>
            <rFont val="Tahoma"/>
            <family val="2"/>
          </rPr>
          <t>Expedited Rules are filed by only one agency--School and Institutional Trust Lands--under authority of Utah Code Subsection 53C-1-201(3)(ii).</t>
        </r>
      </text>
    </comment>
    <comment ref="M4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N4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Q4" authorId="0">
      <text>
        <r>
          <rPr>
            <sz val="8"/>
            <color indexed="81"/>
            <rFont val="Arial"/>
            <family val="2"/>
          </rPr>
          <t>"Invalid" indicates rules that the Division subsequently discovered did not comply with all procedural requirements of the Rulemaking Act.  (e.g., an agency files a CPR on a rule that it already made effective.)</t>
        </r>
      </text>
    </comment>
    <comment ref="W4" authorId="3">
      <text>
        <r>
          <rPr>
            <b/>
            <sz val="8"/>
            <color indexed="81"/>
            <rFont val="Tahoma"/>
            <family val="2"/>
          </rPr>
          <t>"TLTP" means To Long To Print:</t>
        </r>
        <r>
          <rPr>
            <sz val="8"/>
            <color indexed="81"/>
            <rFont val="Tahoma"/>
            <family val="2"/>
          </rPr>
          <t xml:space="preserve">
Because of the page limits in the printed Bulletin, sometimes text that is filed must be omitted.  This is authorized by Subsection 63-46a-10(1)(d).  TLTPs include:  a rule for which no text was published; a R&amp;R for which the repealed text was not published; an AMD for which deleted sections were not published.</t>
        </r>
      </text>
    </comment>
    <comment ref="AI4" authorId="0">
      <text>
        <r>
          <rPr>
            <sz val="8"/>
            <color indexed="81"/>
            <rFont val="Arial"/>
            <family val="2"/>
          </rPr>
          <t>"Total Bulletin Pages" includes the title page (2 pages).</t>
        </r>
      </text>
    </comment>
    <comment ref="AJ4" authorId="0">
      <text>
        <r>
          <rPr>
            <sz val="8"/>
            <color indexed="81"/>
            <rFont val="Arial"/>
            <family val="2"/>
          </rPr>
          <t>"Total Digest Pages" does not include the cover (4 pages) or title page (2 pages).</t>
        </r>
      </text>
    </comment>
    <comment ref="AR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On 4/18/2002, the Division discovered that Lyris modifies historical records of recipients.  Staff went back and pulled correct subscription data from Delivery Notifications sent to the List Administrator by E-mail at the time of delivery.  Statistics now maintained in the file named "admin_rules_digest-listserv-stats.xls".</t>
        </r>
      </text>
    </comment>
    <comment ref="AV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This column is NOT the sum of the previous three columns.  Data for these columns are available in the file named "WebWatch-stats.xls".</t>
        </r>
      </text>
    </comment>
    <comment ref="BE4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Includes AMD, NSC, R&amp;R, 5YR, EXPED (unless making a new rule or repealing a rule)</t>
        </r>
      </text>
    </comment>
    <comment ref="CE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Community and Culture was created by the passage of H.B. 318 (2005).</t>
        </r>
      </text>
    </comment>
    <comment ref="F45" authorId="0">
      <text>
        <r>
          <rPr>
            <sz val="8"/>
            <color indexed="81"/>
            <rFont val="Arial"/>
            <family val="2"/>
          </rPr>
          <t>Called "Repeal and Enact" from 1987 until April 29, 1996, when S.B. 25 went into effect and changed the term to "Repeal and Reenact".</t>
        </r>
      </text>
    </comment>
    <comment ref="I45" authorId="1">
      <text>
        <r>
          <rPr>
            <sz val="8"/>
            <color indexed="81"/>
            <rFont val="Tahoma"/>
            <family val="2"/>
          </rPr>
          <t>Expedited Rules are filed by only one agency--School and Institutional Trust Lands--under authority of Utah Code Subsection 53C-1-201(3)(ii).</t>
        </r>
      </text>
    </comment>
    <comment ref="M45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N45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Q45" authorId="0">
      <text>
        <r>
          <rPr>
            <sz val="8"/>
            <color indexed="81"/>
            <rFont val="Arial"/>
            <family val="2"/>
          </rPr>
          <t>"Invalid" indicates rules that the Division subsequently discovered did not comply with all procedural requirements of the Rulemaking Act.  (e.g., an agency files a CPR on a rule that it already made effective.)</t>
        </r>
      </text>
    </comment>
    <comment ref="W45" authorId="3">
      <text>
        <r>
          <rPr>
            <b/>
            <sz val="8"/>
            <color indexed="81"/>
            <rFont val="Tahoma"/>
            <family val="2"/>
          </rPr>
          <t>"TLTP" means To Long To Print:</t>
        </r>
        <r>
          <rPr>
            <sz val="8"/>
            <color indexed="81"/>
            <rFont val="Tahoma"/>
            <family val="2"/>
          </rPr>
          <t xml:space="preserve">
Because of the page limits in the printed Bulletin, sometimes text that is filed must be omitted.  This is authorized by Subsection 63-46a-10(1)(d).  TLTPs include:  a rule for which no text was published; a R&amp;R for which the repealed text was not published; an AMD for which deleted sections were not published.</t>
        </r>
      </text>
    </comment>
    <comment ref="AI45" authorId="0">
      <text>
        <r>
          <rPr>
            <sz val="8"/>
            <color indexed="81"/>
            <rFont val="Arial"/>
            <family val="2"/>
          </rPr>
          <t>"Total Bulletin Pages" includes the title page (2 pages).</t>
        </r>
      </text>
    </comment>
    <comment ref="AJ45" authorId="0">
      <text>
        <r>
          <rPr>
            <sz val="8"/>
            <color indexed="81"/>
            <rFont val="Arial"/>
            <family val="2"/>
          </rPr>
          <t>"Total Digest Pages" does not include the cover (4 pages) or title page (2 pages).</t>
        </r>
      </text>
    </comment>
    <comment ref="AR45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On 4/18/2002, the Division discovered that Lyris modifies historical records of recipients.  Staff went back and pulled correct subscription data from Delivery Notifications sent to the List Administrator by E-mail at the time of delivery.  Statistics now maintained in the file named "admin_rules_digest-listserv-stats.xls".</t>
        </r>
      </text>
    </comment>
    <comment ref="AV45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This column is NOT the sum of the previous three columns.  Data for these columns are available in the file named "WebWatch-stats.xls".</t>
        </r>
      </text>
    </comment>
    <comment ref="BE45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Includes AMD, NSC, R&amp;R, 5YR, EXPED (unless making a new rule or repealing a rule)</t>
        </r>
      </text>
    </comment>
    <comment ref="CE45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Community and Culture was created by the passage of H.B. 318 (2005).</t>
        </r>
      </text>
    </comment>
    <comment ref="F84" authorId="0">
      <text>
        <r>
          <rPr>
            <sz val="8"/>
            <color indexed="81"/>
            <rFont val="Arial"/>
            <family val="2"/>
          </rPr>
          <t>Called "Repeal and Enact" from 1987 until April 29, 1996, when S.B. 25 went into effect and changed the term to "Repeal and Reenact".</t>
        </r>
      </text>
    </comment>
    <comment ref="I84" authorId="1">
      <text>
        <r>
          <rPr>
            <sz val="8"/>
            <color indexed="81"/>
            <rFont val="Tahoma"/>
            <family val="2"/>
          </rPr>
          <t>Expedited Rules are filed by only one agency--School and Institutional Trust Lands--under authority of Utah Code Subsection 53C-1-201(3)(ii).</t>
        </r>
      </text>
    </comment>
    <comment ref="M84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N84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Q84" authorId="0">
      <text>
        <r>
          <rPr>
            <sz val="8"/>
            <color indexed="81"/>
            <rFont val="Arial"/>
            <family val="2"/>
          </rPr>
          <t>"Invalid" indicates rules that the Division subsequently discovered did not comply with all procedural requirements of the Rulemaking Act.  (e.g., an agency files a CPR on a rule that it already made effective.)</t>
        </r>
      </text>
    </comment>
    <comment ref="W84" authorId="3">
      <text>
        <r>
          <rPr>
            <b/>
            <sz val="8"/>
            <color indexed="81"/>
            <rFont val="Tahoma"/>
            <family val="2"/>
          </rPr>
          <t>"TLTP" means To Long To Print:</t>
        </r>
        <r>
          <rPr>
            <sz val="8"/>
            <color indexed="81"/>
            <rFont val="Tahoma"/>
            <family val="2"/>
          </rPr>
          <t xml:space="preserve">
Because of the page limits in the printed Bulletin, sometimes text that is filed must be omitted.  This is authorized by Subsection 63-46a-10(1)(d).  TLTPs include:  a rule for which no text was published; a R&amp;R for which the repealed text was not published; an AMD for which deleted sections were not published.</t>
        </r>
      </text>
    </comment>
    <comment ref="AI84" authorId="0">
      <text>
        <r>
          <rPr>
            <sz val="8"/>
            <color indexed="81"/>
            <rFont val="Arial"/>
            <family val="2"/>
          </rPr>
          <t>"Total Bulletin Pages" includes the title page (2 pages).</t>
        </r>
      </text>
    </comment>
    <comment ref="AJ84" authorId="0">
      <text>
        <r>
          <rPr>
            <sz val="8"/>
            <color indexed="81"/>
            <rFont val="Arial"/>
            <family val="2"/>
          </rPr>
          <t>"Total Digest Pages" does not include the cover (4 pages) or title page (2 pages).</t>
        </r>
      </text>
    </comment>
    <comment ref="AR8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On 4/18/2002, the Division discovered that Lyris modifies historical records of recipients.  Staff went back and pulled correct subscription data from Delivery Notifications sent to the List Administrator by E-mail at the time of delivery.  Statistics now maintained in the file named "admin_rules_digest-listserv-stats.xls".</t>
        </r>
      </text>
    </comment>
    <comment ref="AV8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This column is NOT the sum of the previous three columns.  Data for these columns are available in the file named "WebWatch-stats.xls".</t>
        </r>
      </text>
    </comment>
    <comment ref="BE84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Includes AMD, NSC, R&amp;R, 5YR, EXPED (unless making a new rule or repealing a rule)</t>
        </r>
      </text>
    </comment>
    <comment ref="CE84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Community and Culture was created by the passage of H.B. 318 (2005).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  <author>Ken Hansen - Administrative Rules</author>
    <author>DTS</author>
    <author>Ken Hansen</author>
    <author>Administrative Code Editor</author>
  </authors>
  <commentList>
    <comment ref="F3" authorId="0">
      <text>
        <r>
          <rPr>
            <sz val="8"/>
            <color indexed="81"/>
            <rFont val="Arial"/>
            <family val="2"/>
          </rPr>
          <t>Called "Repeal and Enact" from 1987 until April 29, 1996, when S.B. 25 went into effect and changed the term to "Repeal and Reenact".</t>
        </r>
      </text>
    </comment>
    <comment ref="I3" authorId="1">
      <text>
        <r>
          <rPr>
            <sz val="8"/>
            <color indexed="81"/>
            <rFont val="Tahoma"/>
            <family val="2"/>
          </rPr>
          <t>Expedited Rules are filed by only one agency--School and Institutional Trust Lands--under authority of Utah Code Subsection 53C-1-201(3)(ii).</t>
        </r>
      </text>
    </comment>
    <comment ref="M3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N3" authorId="2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Created by H.B. 408 (1989; Chapter 231, Laws of Utah 1989, Page 705)</t>
        </r>
      </text>
    </comment>
    <comment ref="Q3" authorId="0">
      <text>
        <r>
          <rPr>
            <sz val="8"/>
            <color indexed="81"/>
            <rFont val="Arial"/>
            <family val="2"/>
          </rPr>
          <t>"Invalid" indicates rules that the Division subsequently discovered did not comply with all procedural requirements of the Rulemaking Act.  (e.g., an agency files a CPR on a rule that it already made effective.)</t>
        </r>
      </text>
    </comment>
    <comment ref="W3" authorId="3">
      <text>
        <r>
          <rPr>
            <b/>
            <sz val="8"/>
            <color indexed="81"/>
            <rFont val="Tahoma"/>
            <family val="2"/>
          </rPr>
          <t>"TLTP" means To Long To Print:</t>
        </r>
        <r>
          <rPr>
            <sz val="8"/>
            <color indexed="81"/>
            <rFont val="Tahoma"/>
            <family val="2"/>
          </rPr>
          <t xml:space="preserve">
Because of the page limits in the printed Bulletin, sometimes text that is filed must be omitted.  This is authorized by Subsection 63-46a-10(1)(d).  TLTPs include:  a rule for which no text was published; a R&amp;R for which the repealed text was not published; an AMD for which deleted sections were not published.</t>
        </r>
      </text>
    </comment>
    <comment ref="AI3" authorId="0">
      <text>
        <r>
          <rPr>
            <sz val="8"/>
            <color indexed="81"/>
            <rFont val="Arial"/>
            <family val="2"/>
          </rPr>
          <t>"Total Bulletin Pages" includes the title page (2 pages).</t>
        </r>
      </text>
    </comment>
    <comment ref="AJ3" authorId="0">
      <text>
        <r>
          <rPr>
            <sz val="8"/>
            <color indexed="81"/>
            <rFont val="Arial"/>
            <family val="2"/>
          </rPr>
          <t>"Total Digest Pages" does not include the cover (4 pages) or title page (2 pages).</t>
        </r>
      </text>
    </comment>
    <comment ref="AR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On 4/18/2002, the Division discovered that Lyris modifies historical records of recipients.  Staff went back and pulled correct subscription data from Delivery Notifications sent to the List Administrator by E-mail at the time of delivery.  Statistics now maintained in the file named "admin_rules_digest-listserv-stats.xls".</t>
        </r>
      </text>
    </comment>
    <comment ref="AV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This column is NOT the sum of the previous three columns.  Data for these columns are available in the file named "WebWatch-stats.xls".</t>
        </r>
      </text>
    </comment>
    <comment ref="BA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Includes AMD, NSC, R&amp;R, 5YR, EXPED (unless making a new rule or repealing a rule)</t>
        </r>
      </text>
    </comment>
    <comment ref="BB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Could include EXPED new rules</t>
        </r>
      </text>
    </comment>
    <comment ref="BC3" authorId="4">
      <text>
        <r>
          <rPr>
            <b/>
            <sz val="8"/>
            <color indexed="81"/>
            <rFont val="Tahoma"/>
            <family val="2"/>
          </rPr>
          <t>Administrative Code Editor:</t>
        </r>
        <r>
          <rPr>
            <sz val="8"/>
            <color indexed="81"/>
            <rFont val="Tahoma"/>
            <family val="2"/>
          </rPr>
          <t xml:space="preserve">
Could include expedited repeals</t>
        </r>
      </text>
    </comment>
    <comment ref="BY3" authorId="3">
      <text>
        <r>
          <rPr>
            <b/>
            <sz val="8"/>
            <color indexed="81"/>
            <rFont val="Tahoma"/>
            <family val="2"/>
          </rPr>
          <t>Ken Hansen:</t>
        </r>
        <r>
          <rPr>
            <sz val="8"/>
            <color indexed="81"/>
            <rFont val="Tahoma"/>
            <family val="2"/>
          </rPr>
          <t xml:space="preserve">
Community and Culture was created by the passage of H.B. 318 (2005).</t>
        </r>
      </text>
    </comment>
  </commentList>
</comments>
</file>

<file path=xl/sharedStrings.xml><?xml version="1.0" encoding="utf-8"?>
<sst xmlns="http://schemas.openxmlformats.org/spreadsheetml/2006/main" count="833" uniqueCount="317">
  <si>
    <t>FILINGS</t>
  </si>
  <si>
    <t>PUBLICATION PAGES</t>
  </si>
  <si>
    <t>UTAH ADMINISTRATIVE CODE</t>
  </si>
  <si>
    <t>OTHER</t>
  </si>
  <si>
    <t>SUMMARY OF FILINGS BY DEPARTMENT (FROM REGISTER DATABASE)</t>
  </si>
  <si>
    <t>Bulletin Issue</t>
  </si>
  <si>
    <t>Withdrawn by Agency</t>
  </si>
  <si>
    <t>Invalid</t>
  </si>
  <si>
    <t>Void</t>
  </si>
  <si>
    <t>Total Rules per Issue</t>
  </si>
  <si>
    <t>ARRC Filings</t>
  </si>
  <si>
    <t>No. of "TLTP's"</t>
  </si>
  <si>
    <t>Error Correction Notices</t>
  </si>
  <si>
    <t>Bulletin Rule Pages</t>
  </si>
  <si>
    <t>Bulletin Index Pages</t>
  </si>
  <si>
    <t>Total Bulletin Pages</t>
  </si>
  <si>
    <t>Total Digest Pages</t>
  </si>
  <si>
    <t>Bulletin Total Subscribers</t>
  </si>
  <si>
    <t>Digest Total Subscribers</t>
  </si>
  <si>
    <t># of Rules in UAC</t>
  </si>
  <si>
    <t>Size of UAC (WP files)</t>
  </si>
  <si>
    <t>Size of UAC.NFO (DAR ed.)</t>
  </si>
  <si>
    <t>New Rules Codified</t>
  </si>
  <si>
    <t>Repeals Codified</t>
  </si>
  <si>
    <t>Update Bytes (WP files)</t>
  </si>
  <si>
    <t>Printed UAC Pages</t>
  </si>
  <si>
    <t>Potential Rulewriting Agencies</t>
  </si>
  <si>
    <t>Agencies with Rules</t>
  </si>
  <si>
    <t>Bulletin Fiscal Year</t>
  </si>
  <si>
    <t>Bulletin Calendar Year</t>
  </si>
  <si>
    <t>Bulletin Issue No.</t>
  </si>
  <si>
    <t>Administrative Services</t>
  </si>
  <si>
    <t>Commerce</t>
  </si>
  <si>
    <t>Community and Economic Development</t>
  </si>
  <si>
    <t>Corrections</t>
  </si>
  <si>
    <t>Education</t>
  </si>
  <si>
    <t>Environmental Quality</t>
  </si>
  <si>
    <t>Financial Institutions</t>
  </si>
  <si>
    <t>Health</t>
  </si>
  <si>
    <t>Human Resource Management</t>
  </si>
  <si>
    <t>Human Services</t>
  </si>
  <si>
    <t>Industrial Commission</t>
  </si>
  <si>
    <t>Insurance</t>
  </si>
  <si>
    <t>Natural Resources</t>
  </si>
  <si>
    <t>Public Safety</t>
  </si>
  <si>
    <t>Public Service Commission</t>
  </si>
  <si>
    <t>Regents (Board of)</t>
  </si>
  <si>
    <t>Tax Commission</t>
  </si>
  <si>
    <t>Transportation</t>
  </si>
  <si>
    <t>Grand Total</t>
  </si>
  <si>
    <t>IF IS ERROR</t>
  </si>
  <si>
    <t>FY 88 TOT</t>
  </si>
  <si>
    <t>88T</t>
  </si>
  <si>
    <t>FY 88 AVE</t>
  </si>
  <si>
    <t>88A</t>
  </si>
  <si>
    <t>FY 88 MED</t>
  </si>
  <si>
    <t>FY 88 MODE</t>
  </si>
  <si>
    <t>FY 89 TOT</t>
  </si>
  <si>
    <t>89T</t>
  </si>
  <si>
    <t>FY 89 AVE</t>
  </si>
  <si>
    <t>89A</t>
  </si>
  <si>
    <t>FY 89 MED</t>
  </si>
  <si>
    <t>FY 89 MODE</t>
  </si>
  <si>
    <t>FY 90 TOT</t>
  </si>
  <si>
    <t>90T</t>
  </si>
  <si>
    <t>FY 90 AVE</t>
  </si>
  <si>
    <t>90A</t>
  </si>
  <si>
    <t>FY 90 MED</t>
  </si>
  <si>
    <t>FY 90 MODE</t>
  </si>
  <si>
    <t>FY 91 TOT</t>
  </si>
  <si>
    <t>91T</t>
  </si>
  <si>
    <t>FY 91 AVE</t>
  </si>
  <si>
    <t>91A</t>
  </si>
  <si>
    <t>FY 91 MED</t>
  </si>
  <si>
    <t>FY 91 MODE</t>
  </si>
  <si>
    <t>FY 92 TOT</t>
  </si>
  <si>
    <t>92T</t>
  </si>
  <si>
    <t>FY 92 AVE</t>
  </si>
  <si>
    <t>92A</t>
  </si>
  <si>
    <t>FY 92 MED</t>
  </si>
  <si>
    <t>FY 92 MODE</t>
  </si>
  <si>
    <t>FY 93 TOT</t>
  </si>
  <si>
    <t>93T</t>
  </si>
  <si>
    <t>FY 93 AVE</t>
  </si>
  <si>
    <t>93A</t>
  </si>
  <si>
    <t>FY 93 MED</t>
  </si>
  <si>
    <t>FY 93 MODE</t>
  </si>
  <si>
    <t>FY 94 TOT</t>
  </si>
  <si>
    <t>94T</t>
  </si>
  <si>
    <t>FY 94 AVE</t>
  </si>
  <si>
    <t>94A</t>
  </si>
  <si>
    <t>FY 94 MED</t>
  </si>
  <si>
    <t>FY 94 MODE</t>
  </si>
  <si>
    <t>FY 95 TOT</t>
  </si>
  <si>
    <t>95T</t>
  </si>
  <si>
    <t>FY 95 AVE</t>
  </si>
  <si>
    <t>95A</t>
  </si>
  <si>
    <t>FY 95 MED</t>
  </si>
  <si>
    <t>FY 95 MODE</t>
  </si>
  <si>
    <t>FY 96 TOT</t>
  </si>
  <si>
    <t>96T</t>
  </si>
  <si>
    <t>FY 96 AVE</t>
  </si>
  <si>
    <t>96A</t>
  </si>
  <si>
    <t>FY 96 MED</t>
  </si>
  <si>
    <t>FY 96 MODE</t>
  </si>
  <si>
    <t>FY 97 TOT</t>
  </si>
  <si>
    <t>97T</t>
  </si>
  <si>
    <t>FY 97 AVE</t>
  </si>
  <si>
    <t>97A</t>
  </si>
  <si>
    <t>FY 97 MED</t>
  </si>
  <si>
    <t>FY 97 MODE</t>
  </si>
  <si>
    <t>FY 98 TOT</t>
  </si>
  <si>
    <t>98T</t>
  </si>
  <si>
    <t>FY 98 AVE</t>
  </si>
  <si>
    <t>98A</t>
  </si>
  <si>
    <t>FY 98 MED</t>
  </si>
  <si>
    <t>FY 98 MODE</t>
  </si>
  <si>
    <t>FY 99 TOT</t>
  </si>
  <si>
    <t>99T</t>
  </si>
  <si>
    <t>FY 99 AVE</t>
  </si>
  <si>
    <t>99A</t>
  </si>
  <si>
    <t>FY 99 MED</t>
  </si>
  <si>
    <t>FY 99 MODE</t>
  </si>
  <si>
    <t>TOTALS</t>
  </si>
  <si>
    <t>T</t>
  </si>
  <si>
    <t>TOTAL AVE.</t>
  </si>
  <si>
    <t>A</t>
  </si>
  <si>
    <t>SUMMARY:  Actual Totals</t>
  </si>
  <si>
    <t>SUMMARY:  Projections</t>
  </si>
  <si>
    <t>Bulletin Ave.</t>
  </si>
  <si>
    <t>CRITERIA</t>
  </si>
  <si>
    <t>AVERAGES</t>
  </si>
  <si>
    <t>Administrative Rules Statistics</t>
  </si>
  <si>
    <t>FY 00 TOT</t>
  </si>
  <si>
    <t>FY 00 AVE</t>
  </si>
  <si>
    <t>FY 00 MED</t>
  </si>
  <si>
    <t>FY 00 MODE</t>
  </si>
  <si>
    <t>00T</t>
  </si>
  <si>
    <t>00A</t>
  </si>
  <si>
    <t>FY 01 TOT</t>
  </si>
  <si>
    <t>FY 01 AVE</t>
  </si>
  <si>
    <t>FY 01 MED</t>
  </si>
  <si>
    <t>FY 01 MODE</t>
  </si>
  <si>
    <t>01T</t>
  </si>
  <si>
    <t>01A</t>
  </si>
  <si>
    <t>Filing Form Bytes (WP files)</t>
  </si>
  <si>
    <t>Filing Text &amp; 5-Yr Review Forms Bytes (WP files)</t>
  </si>
  <si>
    <t>Filing Text &amp; Form Bytes (WP files) Total</t>
  </si>
  <si>
    <t>IDENTIFIERS</t>
  </si>
  <si>
    <t>E-mail Digest Subscribers</t>
  </si>
  <si>
    <t>SUBSCRIPTIONS</t>
  </si>
  <si>
    <t>BULLETIN FILE DATA</t>
  </si>
  <si>
    <t>FY 02 TOT</t>
  </si>
  <si>
    <t>FY 02 AVE</t>
  </si>
  <si>
    <t>FY 02 MED</t>
  </si>
  <si>
    <t>FY 02 MODE</t>
  </si>
  <si>
    <t>02T</t>
  </si>
  <si>
    <t>02A</t>
  </si>
  <si>
    <t>Total  WebWatch Subscribers</t>
  </si>
  <si>
    <t>Paper Bulletin -- Not Paid by DAR</t>
  </si>
  <si>
    <t>Paper Digest -- Paid by DAR</t>
  </si>
  <si>
    <t>Paper Digest -- Not Paid by DAR</t>
  </si>
  <si>
    <t>Web Bulletin -- WebWatch Subscribers</t>
  </si>
  <si>
    <t>Web Code -- WebWatch Subscribers</t>
  </si>
  <si>
    <t>Web Code Update -- WebWatch Subscribers</t>
  </si>
  <si>
    <t>Days</t>
  </si>
  <si>
    <t>Holidays</t>
  </si>
  <si>
    <t>Weekend Days</t>
  </si>
  <si>
    <t>Working Days</t>
  </si>
  <si>
    <t>FY Publication Filings</t>
  </si>
  <si>
    <t>Bulletin Bytes (WP/Word file)</t>
  </si>
  <si>
    <t>Filing Text Bytes (WP/RTF files)</t>
  </si>
  <si>
    <t>Bulletin (Print)</t>
  </si>
  <si>
    <t>Digest (Print)</t>
  </si>
  <si>
    <t>Digest (E-mail)</t>
  </si>
  <si>
    <t>CURRENT FISCAL YEAR TO DATE</t>
  </si>
  <si>
    <t>FY 03 TOT</t>
  </si>
  <si>
    <t>FY 03 AVE</t>
  </si>
  <si>
    <t>FY 03 MED</t>
  </si>
  <si>
    <t>FY 03 MODE</t>
  </si>
  <si>
    <t>03T</t>
  </si>
  <si>
    <t>03A</t>
  </si>
  <si>
    <t>Bulletins Issued</t>
  </si>
  <si>
    <t>FY</t>
  </si>
  <si>
    <t>Filings / Working Day</t>
  </si>
  <si>
    <t>School and Institutional Trust Lands</t>
  </si>
  <si>
    <t>Workforce Services</t>
  </si>
  <si>
    <t>Alcoholic Beverage Control</t>
  </si>
  <si>
    <t>Labor Commission</t>
  </si>
  <si>
    <t>Correction Requests Sent to Agencies</t>
  </si>
  <si>
    <t>Agriculture and Food</t>
  </si>
  <si>
    <t>"Void"</t>
  </si>
  <si>
    <t>Note</t>
  </si>
  <si>
    <t>04T</t>
  </si>
  <si>
    <t>04A</t>
  </si>
  <si>
    <t>FY 04 AVE</t>
  </si>
  <si>
    <t>FY 04 MED</t>
  </si>
  <si>
    <t>FY 04 MODE</t>
  </si>
  <si>
    <t>FY 04 TOT</t>
  </si>
  <si>
    <t>Rule Changes Codified</t>
  </si>
  <si>
    <t>Others Agencies</t>
  </si>
  <si>
    <t>FY 05 AVE</t>
  </si>
  <si>
    <t>FY 05 MED</t>
  </si>
  <si>
    <t>FY 05 TOT</t>
  </si>
  <si>
    <t>Paper Bulletin -- Free-Paid by DAR</t>
  </si>
  <si>
    <t>FY 06 AVE</t>
  </si>
  <si>
    <t>FY 06 MED</t>
  </si>
  <si>
    <t>FY 06 TOT</t>
  </si>
  <si>
    <t>06T</t>
  </si>
  <si>
    <t>06A</t>
  </si>
  <si>
    <t>FY 06 MODE</t>
  </si>
  <si>
    <t>05T</t>
  </si>
  <si>
    <t>05A</t>
  </si>
  <si>
    <t>Community and Culture</t>
  </si>
  <si>
    <t>FY 07 TOT</t>
  </si>
  <si>
    <t>FY 07 AVE</t>
  </si>
  <si>
    <t>FY 07 MED</t>
  </si>
  <si>
    <t>FY 07 MODE</t>
  </si>
  <si>
    <t>07T</t>
  </si>
  <si>
    <t>Technology Services</t>
  </si>
  <si>
    <t>08T</t>
  </si>
  <si>
    <t>08A</t>
  </si>
  <si>
    <t>07A</t>
  </si>
  <si>
    <t>Attorney General</t>
  </si>
  <si>
    <t>Public Education Job Enhancement Program</t>
  </si>
  <si>
    <t>Money Management Council</t>
  </si>
  <si>
    <t>Governor</t>
  </si>
  <si>
    <t>Pardons (Board of)</t>
  </si>
  <si>
    <t>Public Lands Policy Coordinating Office</t>
  </si>
  <si>
    <t>Lieutenant Governor</t>
  </si>
  <si>
    <t>Capitol Preservation Board (State)</t>
  </si>
  <si>
    <t>Housing Corporation (Utah)</t>
  </si>
  <si>
    <t>Professonal Practices Advisory Commission</t>
  </si>
  <si>
    <t>Auditor</t>
  </si>
  <si>
    <t>Crime Victim Reparations</t>
  </si>
  <si>
    <t>Treasurer</t>
  </si>
  <si>
    <t>Sports Authority (Utah)</t>
  </si>
  <si>
    <t>FY 09 TOT</t>
  </si>
  <si>
    <t>FY 09 AVE</t>
  </si>
  <si>
    <t>FY 09 MED</t>
  </si>
  <si>
    <t>FY 09 MODE</t>
  </si>
  <si>
    <t>09T</t>
  </si>
  <si>
    <t>09A</t>
  </si>
  <si>
    <t>FY 08 TOT</t>
  </si>
  <si>
    <t>FY 08 MODE</t>
  </si>
  <si>
    <t>FY 08 AVE</t>
  </si>
  <si>
    <t>FY 08 MED</t>
  </si>
  <si>
    <t>Career Service Review Board</t>
  </si>
  <si>
    <t>Judicial Conduct Commission</t>
  </si>
  <si>
    <t>Transportation Commission</t>
  </si>
  <si>
    <t>10T</t>
  </si>
  <si>
    <t>10A</t>
  </si>
  <si>
    <t>Judicial Performance Evaluation Commission</t>
  </si>
  <si>
    <t>FY 10 TOT</t>
  </si>
  <si>
    <t>FY 10 AVE</t>
  </si>
  <si>
    <t>FY 10 MED</t>
  </si>
  <si>
    <t>FY 10 MODE</t>
  </si>
  <si>
    <t>FY 11 TOT</t>
  </si>
  <si>
    <t>FY 11 AVE</t>
  </si>
  <si>
    <t>FY 11 MED</t>
  </si>
  <si>
    <t>FY 11 MODE</t>
  </si>
  <si>
    <t>LNR</t>
  </si>
  <si>
    <t>GEX</t>
  </si>
  <si>
    <t>NEW</t>
  </si>
  <si>
    <t>AMD</t>
  </si>
  <si>
    <t>REP</t>
  </si>
  <si>
    <t>R&amp;R</t>
  </si>
  <si>
    <t>CPR</t>
  </si>
  <si>
    <t>EMR</t>
  </si>
  <si>
    <t>5YR</t>
  </si>
  <si>
    <t>NSC</t>
  </si>
  <si>
    <t>EXD</t>
  </si>
  <si>
    <t>EXP</t>
  </si>
  <si>
    <t>EXT</t>
  </si>
  <si>
    <t>11T</t>
  </si>
  <si>
    <t>11A</t>
  </si>
  <si>
    <t>SUMMARY OF FILINGS BY DEPARTMENT</t>
  </si>
  <si>
    <t>Science Technology and Research Governing Authority</t>
  </si>
  <si>
    <t>Fair Corporation (Utah State)</t>
  </si>
  <si>
    <t>Filings with Correction Requests</t>
  </si>
  <si>
    <t>12T</t>
  </si>
  <si>
    <t>12A</t>
  </si>
  <si>
    <t>FY 12 TOT</t>
  </si>
  <si>
    <t>FY 12 AVE</t>
  </si>
  <si>
    <t>FY 12 MED</t>
  </si>
  <si>
    <t>FY 12 MODE</t>
  </si>
  <si>
    <t>Date Code Update Available</t>
  </si>
  <si>
    <t>Days (Early) Late</t>
  </si>
  <si>
    <t>Date Code Update Due</t>
  </si>
  <si>
    <t>Bulletin Fiscal Year Criteria (Column BM)</t>
  </si>
  <si>
    <t>Bulletin Bytes (WP / Word / OpenOffice file)</t>
  </si>
  <si>
    <t>FY 13 TOT</t>
  </si>
  <si>
    <t>FY 13 AVE</t>
  </si>
  <si>
    <t>FY 13 MED</t>
  </si>
  <si>
    <t>FY 13 MODE</t>
  </si>
  <si>
    <t>Heritage and Arts</t>
  </si>
  <si>
    <t>Size of UAC (txt format)</t>
  </si>
  <si>
    <t>Veterans' Affairs</t>
  </si>
  <si>
    <t>Examiners (Board of)</t>
  </si>
  <si>
    <t>Bulletin Posted Online</t>
  </si>
  <si>
    <t>Days (Early)/Late</t>
  </si>
  <si>
    <t>Bulletin Posted</t>
  </si>
  <si>
    <t>13T</t>
  </si>
  <si>
    <t>13A</t>
  </si>
  <si>
    <t xml:space="preserve">Needs to be updated; 4/10s terminated </t>
  </si>
  <si>
    <t>Need to adjust.  4/10s began 8/4/2008.</t>
  </si>
  <si>
    <t>Career Service Review Office</t>
  </si>
  <si>
    <t>Housing Finance Agency</t>
  </si>
  <si>
    <t>Total Rules Codified</t>
  </si>
  <si>
    <t>FY 14 TOT</t>
  </si>
  <si>
    <t>FY 14 AVE</t>
  </si>
  <si>
    <t>FY 14 MED</t>
  </si>
  <si>
    <t>FY 14 MODE</t>
  </si>
  <si>
    <t>14T</t>
  </si>
  <si>
    <t>14A</t>
  </si>
  <si>
    <t>2014 YTD</t>
  </si>
  <si>
    <t>2014 EST</t>
  </si>
</sst>
</file>

<file path=xl/styles.xml><?xml version="1.0" encoding="utf-8"?>
<styleSheet xmlns="http://schemas.openxmlformats.org/spreadsheetml/2006/main">
  <numFmts count="9">
    <numFmt numFmtId="164" formatCode="mmm\ d\,\ yy"/>
    <numFmt numFmtId="165" formatCode="0;[Red]\(0\);"/>
    <numFmt numFmtId="166" formatCode="_(&quot;$&quot;* #,##0.00_);[Red]\(&quot;$&quot;* #,##0.00\);"/>
    <numFmt numFmtId="167" formatCode="yyyy"/>
    <numFmt numFmtId="168" formatCode="0.0%"/>
    <numFmt numFmtId="169" formatCode="#,##0.0_);[Red]\(#,##0.0\)"/>
    <numFmt numFmtId="170" formatCode="0.000%"/>
    <numFmt numFmtId="171" formatCode="mmm\ dd\,\ yyyy"/>
    <numFmt numFmtId="172" formatCode="mm/dd/yyyy"/>
  </numFmts>
  <fonts count="24"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2" tint="-0.749961851863155"/>
      <name val="Cambri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38" fontId="0" fillId="0" borderId="0"/>
    <xf numFmtId="38" fontId="11" fillId="7" borderId="0" applyBorder="0"/>
    <xf numFmtId="166" fontId="3" fillId="0" borderId="0"/>
    <xf numFmtId="164" fontId="3" fillId="0" borderId="0">
      <alignment horizontal="center"/>
    </xf>
    <xf numFmtId="38" fontId="8" fillId="3" borderId="0"/>
    <xf numFmtId="38" fontId="4" fillId="3" borderId="1">
      <alignment horizontal="center" wrapText="1"/>
    </xf>
    <xf numFmtId="9" fontId="1" fillId="0" borderId="0" applyFont="0" applyFill="0" applyBorder="0" applyAlignment="0" applyProtection="0"/>
    <xf numFmtId="38" fontId="3" fillId="11" borderId="0" applyNumberFormat="0" applyFont="0" applyBorder="0" applyAlignment="0" applyProtection="0"/>
    <xf numFmtId="38" fontId="11" fillId="6" borderId="0" applyBorder="0"/>
    <xf numFmtId="165" fontId="11" fillId="0" borderId="2" applyFont="0" applyFill="0" applyProtection="0">
      <alignment horizontal="center"/>
    </xf>
    <xf numFmtId="0" fontId="19" fillId="0" borderId="0" applyNumberFormat="0" applyFill="0" applyBorder="0" applyAlignment="0" applyProtection="0"/>
    <xf numFmtId="38" fontId="17" fillId="8" borderId="14" applyBorder="0">
      <alignment horizontal="center" wrapText="1"/>
    </xf>
    <xf numFmtId="38" fontId="11" fillId="9" borderId="0" applyNumberFormat="0" applyFont="0" applyBorder="0" applyAlignment="0" applyProtection="0"/>
    <xf numFmtId="38" fontId="11" fillId="10" borderId="0" applyNumberFormat="0" applyFont="0" applyBorder="0" applyAlignment="0" applyProtection="0"/>
    <xf numFmtId="38" fontId="11" fillId="12" borderId="0" applyNumberFormat="0" applyFont="0" applyBorder="0" applyAlignment="0" applyProtection="0"/>
    <xf numFmtId="38" fontId="11" fillId="13" borderId="0" applyNumberFormat="0" applyFont="0" applyBorder="0" applyAlignment="0" applyProtection="0"/>
  </cellStyleXfs>
  <cellXfs count="380">
    <xf numFmtId="38" fontId="0" fillId="0" borderId="0" xfId="0"/>
    <xf numFmtId="38" fontId="3" fillId="0" borderId="0" xfId="0" applyFont="1"/>
    <xf numFmtId="38" fontId="3" fillId="0" borderId="0" xfId="0" applyFont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38" fontId="0" fillId="0" borderId="3" xfId="0" applyBorder="1"/>
    <xf numFmtId="38" fontId="3" fillId="0" borderId="0" xfId="0" applyFont="1" applyBorder="1"/>
    <xf numFmtId="38" fontId="3" fillId="0" borderId="0" xfId="0" applyFont="1" applyBorder="1" applyAlignment="1">
      <alignment horizontal="center"/>
    </xf>
    <xf numFmtId="38" fontId="0" fillId="0" borderId="4" xfId="0" applyBorder="1"/>
    <xf numFmtId="38" fontId="0" fillId="0" borderId="5" xfId="0" applyBorder="1"/>
    <xf numFmtId="38" fontId="0" fillId="0" borderId="0" xfId="0" applyBorder="1"/>
    <xf numFmtId="38" fontId="3" fillId="0" borderId="5" xfId="0" applyFont="1" applyBorder="1"/>
    <xf numFmtId="38" fontId="3" fillId="0" borderId="7" xfId="0" applyFont="1" applyBorder="1"/>
    <xf numFmtId="38" fontId="0" fillId="0" borderId="8" xfId="0" applyBorder="1" applyAlignment="1">
      <alignment horizontal="center"/>
    </xf>
    <xf numFmtId="38" fontId="0" fillId="0" borderId="9" xfId="0" applyBorder="1" applyAlignment="1">
      <alignment horizontal="center"/>
    </xf>
    <xf numFmtId="38" fontId="0" fillId="2" borderId="0" xfId="0" applyFill="1"/>
    <xf numFmtId="38" fontId="3" fillId="0" borderId="10" xfId="0" applyFont="1" applyBorder="1"/>
    <xf numFmtId="38" fontId="3" fillId="0" borderId="4" xfId="0" applyFont="1" applyBorder="1"/>
    <xf numFmtId="38" fontId="3" fillId="0" borderId="3" xfId="0" applyFont="1" applyBorder="1"/>
    <xf numFmtId="38" fontId="0" fillId="0" borderId="0" xfId="0" applyBorder="1" applyAlignment="1">
      <alignment horizontal="center"/>
    </xf>
    <xf numFmtId="38" fontId="0" fillId="0" borderId="5" xfId="0" applyBorder="1" applyAlignment="1">
      <alignment horizontal="center"/>
    </xf>
    <xf numFmtId="38" fontId="0" fillId="0" borderId="9" xfId="0" applyBorder="1"/>
    <xf numFmtId="38" fontId="0" fillId="0" borderId="14" xfId="0" applyBorder="1"/>
    <xf numFmtId="38" fontId="0" fillId="0" borderId="15" xfId="0" applyBorder="1"/>
    <xf numFmtId="38" fontId="11" fillId="7" borderId="0" xfId="1" applyBorder="1"/>
    <xf numFmtId="38" fontId="11" fillId="6" borderId="5" xfId="8" applyBorder="1"/>
    <xf numFmtId="38" fontId="11" fillId="6" borderId="5" xfId="8" applyBorder="1" applyAlignment="1">
      <alignment horizontal="center"/>
    </xf>
    <xf numFmtId="38" fontId="11" fillId="7" borderId="14" xfId="1" applyBorder="1"/>
    <xf numFmtId="38" fontId="11" fillId="7" borderId="14" xfId="1" applyBorder="1" applyAlignment="1">
      <alignment horizontal="center"/>
    </xf>
    <xf numFmtId="165" fontId="11" fillId="0" borderId="2" xfId="9" applyBorder="1">
      <alignment horizontal="center"/>
    </xf>
    <xf numFmtId="38" fontId="0" fillId="0" borderId="18" xfId="0" applyBorder="1"/>
    <xf numFmtId="38" fontId="11" fillId="7" borderId="18" xfId="1" applyBorder="1"/>
    <xf numFmtId="38" fontId="0" fillId="0" borderId="19" xfId="0" applyBorder="1"/>
    <xf numFmtId="38" fontId="11" fillId="6" borderId="7" xfId="8" applyBorder="1"/>
    <xf numFmtId="38" fontId="11" fillId="7" borderId="19" xfId="1" applyBorder="1"/>
    <xf numFmtId="38" fontId="11" fillId="6" borderId="18" xfId="8" applyBorder="1"/>
    <xf numFmtId="38" fontId="0" fillId="0" borderId="10" xfId="0" applyBorder="1"/>
    <xf numFmtId="38" fontId="0" fillId="0" borderId="20" xfId="0" applyBorder="1"/>
    <xf numFmtId="38" fontId="11" fillId="6" borderId="3" xfId="8" applyBorder="1"/>
    <xf numFmtId="38" fontId="11" fillId="7" borderId="4" xfId="1" applyBorder="1"/>
    <xf numFmtId="38" fontId="11" fillId="7" borderId="3" xfId="1" applyBorder="1"/>
    <xf numFmtId="38" fontId="0" fillId="0" borderId="21" xfId="0" applyBorder="1"/>
    <xf numFmtId="38" fontId="0" fillId="0" borderId="22" xfId="0" applyBorder="1"/>
    <xf numFmtId="38" fontId="11" fillId="6" borderId="10" xfId="8" applyBorder="1"/>
    <xf numFmtId="38" fontId="11" fillId="6" borderId="20" xfId="8" applyBorder="1"/>
    <xf numFmtId="38" fontId="11" fillId="7" borderId="21" xfId="1" applyBorder="1"/>
    <xf numFmtId="38" fontId="11" fillId="7" borderId="22" xfId="1" applyBorder="1"/>
    <xf numFmtId="38" fontId="3" fillId="0" borderId="20" xfId="0" applyFont="1" applyBorder="1"/>
    <xf numFmtId="38" fontId="3" fillId="0" borderId="9" xfId="0" applyFont="1" applyBorder="1"/>
    <xf numFmtId="38" fontId="3" fillId="0" borderId="15" xfId="0" applyFont="1" applyBorder="1"/>
    <xf numFmtId="38" fontId="3" fillId="0" borderId="8" xfId="0" applyFont="1" applyBorder="1"/>
    <xf numFmtId="38" fontId="0" fillId="0" borderId="14" xfId="0" applyBorder="1" applyAlignment="1">
      <alignment horizontal="center"/>
    </xf>
    <xf numFmtId="38" fontId="11" fillId="6" borderId="24" xfId="8" applyBorder="1"/>
    <xf numFmtId="38" fontId="11" fillId="6" borderId="6" xfId="8" applyBorder="1"/>
    <xf numFmtId="38" fontId="11" fillId="6" borderId="25" xfId="8" applyBorder="1"/>
    <xf numFmtId="38" fontId="11" fillId="6" borderId="26" xfId="8" applyBorder="1"/>
    <xf numFmtId="38" fontId="0" fillId="0" borderId="27" xfId="0" applyBorder="1"/>
    <xf numFmtId="38" fontId="0" fillId="0" borderId="1" xfId="0" applyBorder="1"/>
    <xf numFmtId="38" fontId="0" fillId="0" borderId="28" xfId="0" applyBorder="1"/>
    <xf numFmtId="38" fontId="0" fillId="0" borderId="0" xfId="0" applyFill="1" applyBorder="1"/>
    <xf numFmtId="38" fontId="0" fillId="0" borderId="29" xfId="0" applyBorder="1"/>
    <xf numFmtId="38" fontId="0" fillId="0" borderId="4" xfId="0" applyFill="1" applyBorder="1"/>
    <xf numFmtId="38" fontId="0" fillId="0" borderId="3" xfId="0" applyFill="1" applyBorder="1"/>
    <xf numFmtId="38" fontId="3" fillId="0" borderId="14" xfId="0" applyFont="1" applyBorder="1"/>
    <xf numFmtId="165" fontId="11" fillId="0" borderId="0" xfId="9" applyBorder="1">
      <alignment horizontal="center"/>
    </xf>
    <xf numFmtId="38" fontId="0" fillId="0" borderId="2" xfId="0" applyBorder="1" applyAlignment="1">
      <alignment horizontal="center"/>
    </xf>
    <xf numFmtId="38" fontId="0" fillId="0" borderId="16" xfId="0" applyBorder="1" applyAlignment="1">
      <alignment horizontal="center"/>
    </xf>
    <xf numFmtId="38" fontId="0" fillId="0" borderId="15" xfId="0" applyBorder="1" applyAlignment="1">
      <alignment horizontal="center"/>
    </xf>
    <xf numFmtId="165" fontId="11" fillId="0" borderId="2" xfId="9" quotePrefix="1" applyBorder="1">
      <alignment horizontal="center"/>
    </xf>
    <xf numFmtId="165" fontId="11" fillId="0" borderId="30" xfId="9" applyBorder="1">
      <alignment horizontal="center"/>
    </xf>
    <xf numFmtId="38" fontId="11" fillId="6" borderId="17" xfId="8" applyBorder="1" applyAlignment="1">
      <alignment horizontal="center"/>
    </xf>
    <xf numFmtId="38" fontId="11" fillId="6" borderId="8" xfId="8" applyBorder="1" applyAlignment="1">
      <alignment horizontal="center"/>
    </xf>
    <xf numFmtId="38" fontId="11" fillId="7" borderId="16" xfId="1" applyBorder="1" applyAlignment="1">
      <alignment horizontal="center"/>
    </xf>
    <xf numFmtId="38" fontId="11" fillId="7" borderId="15" xfId="1" applyBorder="1" applyAlignment="1">
      <alignment horizontal="center"/>
    </xf>
    <xf numFmtId="165" fontId="11" fillId="0" borderId="17" xfId="9" applyBorder="1">
      <alignment horizontal="center"/>
    </xf>
    <xf numFmtId="165" fontId="11" fillId="0" borderId="5" xfId="9" applyBorder="1">
      <alignment horizontal="center"/>
    </xf>
    <xf numFmtId="38" fontId="0" fillId="0" borderId="0" xfId="0" applyBorder="1" applyAlignment="1">
      <alignment horizontal="center" wrapText="1"/>
    </xf>
    <xf numFmtId="38" fontId="0" fillId="0" borderId="31" xfId="0" applyBorder="1" applyAlignment="1">
      <alignment horizontal="center" wrapText="1"/>
    </xf>
    <xf numFmtId="165" fontId="11" fillId="0" borderId="29" xfId="9" applyBorder="1">
      <alignment horizontal="center"/>
    </xf>
    <xf numFmtId="38" fontId="11" fillId="6" borderId="29" xfId="8" applyBorder="1"/>
    <xf numFmtId="38" fontId="0" fillId="0" borderId="6" xfId="0" applyBorder="1" applyAlignment="1">
      <alignment horizontal="center"/>
    </xf>
    <xf numFmtId="38" fontId="0" fillId="0" borderId="23" xfId="0" applyBorder="1" applyAlignment="1">
      <alignment horizontal="center"/>
    </xf>
    <xf numFmtId="38" fontId="0" fillId="0" borderId="32" xfId="0" applyBorder="1" applyAlignment="1">
      <alignment horizontal="center"/>
    </xf>
    <xf numFmtId="38" fontId="11" fillId="6" borderId="0" xfId="8" applyBorder="1"/>
    <xf numFmtId="167" fontId="0" fillId="0" borderId="0" xfId="0" applyNumberFormat="1"/>
    <xf numFmtId="169" fontId="0" fillId="0" borderId="0" xfId="0" applyNumberFormat="1"/>
    <xf numFmtId="38" fontId="0" fillId="0" borderId="5" xfId="0" applyBorder="1" applyAlignment="1">
      <alignment wrapText="1"/>
    </xf>
    <xf numFmtId="38" fontId="0" fillId="0" borderId="7" xfId="0" applyBorder="1" applyAlignment="1">
      <alignment horizontal="center" wrapText="1"/>
    </xf>
    <xf numFmtId="38" fontId="0" fillId="0" borderId="5" xfId="0" applyBorder="1" applyAlignment="1">
      <alignment horizontal="center" wrapText="1"/>
    </xf>
    <xf numFmtId="38" fontId="4" fillId="3" borderId="1" xfId="0" applyFont="1" applyFill="1" applyBorder="1" applyAlignment="1">
      <alignment horizontal="center" wrapText="1"/>
    </xf>
    <xf numFmtId="38" fontId="0" fillId="4" borderId="3" xfId="0" applyFill="1" applyBorder="1"/>
    <xf numFmtId="38" fontId="0" fillId="0" borderId="10" xfId="0" applyFill="1" applyBorder="1"/>
    <xf numFmtId="38" fontId="0" fillId="0" borderId="5" xfId="0" applyFill="1" applyBorder="1"/>
    <xf numFmtId="38" fontId="0" fillId="0" borderId="20" xfId="0" applyFill="1" applyBorder="1"/>
    <xf numFmtId="9" fontId="11" fillId="0" borderId="5" xfId="6" applyFont="1" applyBorder="1"/>
    <xf numFmtId="9" fontId="11" fillId="0" borderId="0" xfId="6" applyFont="1" applyFill="1" applyBorder="1"/>
    <xf numFmtId="170" fontId="11" fillId="0" borderId="0" xfId="6" applyNumberFormat="1" applyFont="1" applyBorder="1"/>
    <xf numFmtId="9" fontId="11" fillId="0" borderId="0" xfId="6" applyNumberFormat="1" applyFont="1" applyBorder="1"/>
    <xf numFmtId="9" fontId="11" fillId="0" borderId="0" xfId="6" applyFont="1" applyBorder="1"/>
    <xf numFmtId="0" fontId="11" fillId="0" borderId="5" xfId="6" applyNumberFormat="1" applyFont="1" applyBorder="1"/>
    <xf numFmtId="0" fontId="11" fillId="0" borderId="0" xfId="6" applyNumberFormat="1" applyFont="1" applyFill="1" applyBorder="1"/>
    <xf numFmtId="0" fontId="0" fillId="0" borderId="0" xfId="0" applyNumberFormat="1" applyFill="1" applyBorder="1"/>
    <xf numFmtId="38" fontId="3" fillId="0" borderId="0" xfId="0" applyFont="1" applyFill="1" applyBorder="1"/>
    <xf numFmtId="38" fontId="11" fillId="0" borderId="0" xfId="0" applyFont="1" applyBorder="1"/>
    <xf numFmtId="168" fontId="0" fillId="0" borderId="0" xfId="6" applyNumberFormat="1" applyFont="1" applyBorder="1"/>
    <xf numFmtId="9" fontId="0" fillId="0" borderId="0" xfId="6" applyFont="1" applyBorder="1"/>
    <xf numFmtId="38" fontId="13" fillId="0" borderId="14" xfId="0" applyFont="1" applyBorder="1" applyAlignment="1">
      <alignment horizontal="center" wrapText="1"/>
    </xf>
    <xf numFmtId="38" fontId="13" fillId="0" borderId="11" xfId="0" applyFont="1" applyBorder="1"/>
    <xf numFmtId="38" fontId="13" fillId="0" borderId="12" xfId="0" applyFont="1" applyBorder="1"/>
    <xf numFmtId="38" fontId="13" fillId="0" borderId="13" xfId="0" applyFont="1" applyBorder="1"/>
    <xf numFmtId="38" fontId="13" fillId="0" borderId="4" xfId="0" applyFont="1" applyBorder="1"/>
    <xf numFmtId="38" fontId="13" fillId="0" borderId="0" xfId="0" applyFont="1" applyBorder="1"/>
    <xf numFmtId="38" fontId="13" fillId="0" borderId="3" xfId="0" applyFont="1" applyBorder="1"/>
    <xf numFmtId="38" fontId="13" fillId="6" borderId="24" xfId="8" applyFont="1" applyBorder="1"/>
    <xf numFmtId="38" fontId="13" fillId="6" borderId="6" xfId="8" applyFont="1" applyBorder="1"/>
    <xf numFmtId="38" fontId="13" fillId="7" borderId="36" xfId="1" applyFont="1" applyBorder="1"/>
    <xf numFmtId="38" fontId="13" fillId="7" borderId="37" xfId="1" applyFont="1" applyBorder="1"/>
    <xf numFmtId="38" fontId="13" fillId="7" borderId="38" xfId="1" applyFont="1" applyBorder="1"/>
    <xf numFmtId="38" fontId="13" fillId="0" borderId="14" xfId="0" applyFont="1" applyBorder="1"/>
    <xf numFmtId="165" fontId="13" fillId="0" borderId="2" xfId="9" applyFont="1" applyBorder="1">
      <alignment horizontal="center"/>
    </xf>
    <xf numFmtId="38" fontId="13" fillId="6" borderId="18" xfId="8" applyFont="1" applyBorder="1"/>
    <xf numFmtId="38" fontId="13" fillId="7" borderId="4" xfId="1" applyFont="1" applyBorder="1"/>
    <xf numFmtId="38" fontId="13" fillId="7" borderId="0" xfId="1" applyFont="1" applyBorder="1"/>
    <xf numFmtId="38" fontId="13" fillId="7" borderId="3" xfId="1" applyFont="1" applyBorder="1"/>
    <xf numFmtId="38" fontId="13" fillId="7" borderId="11" xfId="1" applyFont="1" applyBorder="1"/>
    <xf numFmtId="38" fontId="13" fillId="7" borderId="12" xfId="1" applyFont="1" applyBorder="1"/>
    <xf numFmtId="38" fontId="13" fillId="5" borderId="0" xfId="0" applyFont="1" applyFill="1" applyBorder="1" applyAlignment="1">
      <alignment horizontal="center"/>
    </xf>
    <xf numFmtId="38" fontId="13" fillId="6" borderId="3" xfId="8" applyFont="1" applyBorder="1"/>
    <xf numFmtId="38" fontId="13" fillId="0" borderId="9" xfId="0" applyFont="1" applyBorder="1"/>
    <xf numFmtId="38" fontId="13" fillId="0" borderId="9" xfId="0" applyFont="1" applyBorder="1" applyAlignment="1">
      <alignment horizontal="center"/>
    </xf>
    <xf numFmtId="38" fontId="13" fillId="0" borderId="0" xfId="0" applyNumberFormat="1" applyFont="1" applyBorder="1"/>
    <xf numFmtId="38" fontId="13" fillId="0" borderId="18" xfId="0" applyFont="1" applyBorder="1"/>
    <xf numFmtId="38" fontId="13" fillId="0" borderId="29" xfId="0" applyFont="1" applyBorder="1"/>
    <xf numFmtId="38" fontId="13" fillId="6" borderId="23" xfId="8" applyFont="1" applyBorder="1"/>
    <xf numFmtId="38" fontId="13" fillId="6" borderId="26" xfId="8" applyFont="1" applyBorder="1"/>
    <xf numFmtId="38" fontId="13" fillId="6" borderId="39" xfId="8" applyFont="1" applyBorder="1"/>
    <xf numFmtId="38" fontId="13" fillId="6" borderId="25" xfId="8" applyFont="1" applyBorder="1"/>
    <xf numFmtId="38" fontId="13" fillId="5" borderId="6" xfId="8" applyFont="1" applyFill="1" applyBorder="1" applyAlignment="1">
      <alignment horizontal="center"/>
    </xf>
    <xf numFmtId="38" fontId="13" fillId="7" borderId="16" xfId="1" applyFont="1" applyBorder="1"/>
    <xf numFmtId="38" fontId="13" fillId="6" borderId="40" xfId="8" applyFont="1" applyBorder="1"/>
    <xf numFmtId="38" fontId="13" fillId="5" borderId="37" xfId="1" applyFont="1" applyFill="1" applyBorder="1" applyAlignment="1">
      <alignment horizontal="center"/>
    </xf>
    <xf numFmtId="38" fontId="13" fillId="0" borderId="22" xfId="0" applyFont="1" applyBorder="1"/>
    <xf numFmtId="38" fontId="13" fillId="0" borderId="15" xfId="0" applyFont="1" applyBorder="1"/>
    <xf numFmtId="38" fontId="13" fillId="0" borderId="0" xfId="0" applyFont="1" applyBorder="1" applyAlignment="1">
      <alignment horizontal="center"/>
    </xf>
    <xf numFmtId="3" fontId="13" fillId="0" borderId="10" xfId="0" applyNumberFormat="1" applyFont="1" applyBorder="1"/>
    <xf numFmtId="3" fontId="13" fillId="0" borderId="5" xfId="0" applyNumberFormat="1" applyFont="1" applyBorder="1"/>
    <xf numFmtId="9" fontId="13" fillId="0" borderId="7" xfId="6" applyFont="1" applyBorder="1"/>
    <xf numFmtId="3" fontId="13" fillId="0" borderId="5" xfId="0" applyNumberFormat="1" applyFont="1" applyFill="1" applyBorder="1"/>
    <xf numFmtId="3" fontId="13" fillId="0" borderId="20" xfId="0" applyNumberFormat="1" applyFont="1" applyBorder="1"/>
    <xf numFmtId="38" fontId="13" fillId="0" borderId="5" xfId="0" applyFont="1" applyBorder="1"/>
    <xf numFmtId="38" fontId="13" fillId="0" borderId="41" xfId="0" applyFont="1" applyBorder="1"/>
    <xf numFmtId="38" fontId="13" fillId="0" borderId="20" xfId="0" applyFont="1" applyBorder="1"/>
    <xf numFmtId="38" fontId="13" fillId="0" borderId="10" xfId="0" applyFont="1" applyBorder="1"/>
    <xf numFmtId="38" fontId="13" fillId="0" borderId="7" xfId="0" applyFont="1" applyBorder="1"/>
    <xf numFmtId="38" fontId="13" fillId="0" borderId="5" xfId="0" applyFont="1" applyBorder="1" applyAlignment="1">
      <alignment horizontal="center"/>
    </xf>
    <xf numFmtId="38" fontId="13" fillId="0" borderId="8" xfId="0" applyFont="1" applyBorder="1"/>
    <xf numFmtId="38" fontId="13" fillId="0" borderId="0" xfId="0" applyFont="1"/>
    <xf numFmtId="38" fontId="13" fillId="0" borderId="0" xfId="0" applyFont="1" applyFill="1" applyBorder="1"/>
    <xf numFmtId="38" fontId="13" fillId="7" borderId="10" xfId="1" applyFont="1" applyBorder="1"/>
    <xf numFmtId="38" fontId="13" fillId="7" borderId="20" xfId="1" applyFont="1" applyBorder="1"/>
    <xf numFmtId="38" fontId="13" fillId="7" borderId="5" xfId="1" applyFont="1" applyBorder="1"/>
    <xf numFmtId="9" fontId="13" fillId="0" borderId="0" xfId="6" applyFont="1" applyFill="1" applyBorder="1"/>
    <xf numFmtId="38" fontId="13" fillId="5" borderId="0" xfId="0" applyFont="1" applyFill="1" applyBorder="1"/>
    <xf numFmtId="38" fontId="13" fillId="0" borderId="4" xfId="0" applyFont="1" applyFill="1" applyBorder="1"/>
    <xf numFmtId="38" fontId="13" fillId="0" borderId="3" xfId="0" applyFont="1" applyFill="1" applyBorder="1"/>
    <xf numFmtId="165" fontId="13" fillId="0" borderId="2" xfId="9" applyFont="1" applyFill="1" applyBorder="1">
      <alignment horizontal="center"/>
    </xf>
    <xf numFmtId="38" fontId="13" fillId="5" borderId="0" xfId="7" applyFont="1" applyFill="1" applyBorder="1" applyAlignment="1">
      <alignment horizontal="center"/>
    </xf>
    <xf numFmtId="165" fontId="13" fillId="0" borderId="2" xfId="9" applyFont="1">
      <alignment horizontal="center"/>
    </xf>
    <xf numFmtId="38" fontId="13" fillId="0" borderId="3" xfId="7" applyFont="1" applyFill="1" applyBorder="1"/>
    <xf numFmtId="38" fontId="13" fillId="11" borderId="4" xfId="7" applyFont="1" applyBorder="1"/>
    <xf numFmtId="38" fontId="13" fillId="11" borderId="3" xfId="7" applyFont="1" applyBorder="1"/>
    <xf numFmtId="38" fontId="13" fillId="11" borderId="0" xfId="7" applyFont="1" applyBorder="1"/>
    <xf numFmtId="38" fontId="13" fillId="11" borderId="21" xfId="7" applyFont="1" applyBorder="1"/>
    <xf numFmtId="38" fontId="13" fillId="11" borderId="14" xfId="7" applyFont="1" applyBorder="1"/>
    <xf numFmtId="38" fontId="13" fillId="6" borderId="19" xfId="8" applyFont="1" applyBorder="1"/>
    <xf numFmtId="38" fontId="13" fillId="11" borderId="22" xfId="7" applyFont="1" applyBorder="1"/>
    <xf numFmtId="38" fontId="13" fillId="5" borderId="14" xfId="7" applyFont="1" applyFill="1" applyBorder="1" applyAlignment="1">
      <alignment horizontal="center"/>
    </xf>
    <xf numFmtId="38" fontId="13" fillId="6" borderId="22" xfId="8" applyFont="1" applyBorder="1"/>
    <xf numFmtId="38" fontId="13" fillId="5" borderId="0" xfId="1" applyFont="1" applyFill="1" applyBorder="1"/>
    <xf numFmtId="38" fontId="13" fillId="5" borderId="0" xfId="1" applyFont="1" applyFill="1" applyBorder="1" applyAlignment="1">
      <alignment horizontal="center"/>
    </xf>
    <xf numFmtId="38" fontId="13" fillId="0" borderId="2" xfId="0" applyFont="1" applyBorder="1" applyAlignment="1">
      <alignment horizontal="center"/>
    </xf>
    <xf numFmtId="38" fontId="13" fillId="7" borderId="21" xfId="1" applyFont="1" applyBorder="1"/>
    <xf numFmtId="38" fontId="13" fillId="7" borderId="14" xfId="1" applyFont="1" applyBorder="1"/>
    <xf numFmtId="38" fontId="13" fillId="7" borderId="22" xfId="1" applyFont="1" applyBorder="1"/>
    <xf numFmtId="38" fontId="13" fillId="5" borderId="14" xfId="1" applyFont="1" applyFill="1" applyBorder="1"/>
    <xf numFmtId="38" fontId="13" fillId="0" borderId="27" xfId="0" applyFont="1" applyBorder="1"/>
    <xf numFmtId="38" fontId="13" fillId="0" borderId="1" xfId="0" applyFont="1" applyBorder="1"/>
    <xf numFmtId="38" fontId="13" fillId="0" borderId="28" xfId="0" applyFont="1" applyBorder="1"/>
    <xf numFmtId="38" fontId="15" fillId="0" borderId="0" xfId="0" applyFont="1" applyAlignment="1">
      <alignment wrapText="1"/>
    </xf>
    <xf numFmtId="165" fontId="13" fillId="0" borderId="0" xfId="9" applyFont="1" applyBorder="1">
      <alignment horizontal="center"/>
    </xf>
    <xf numFmtId="38" fontId="18" fillId="0" borderId="0" xfId="0" applyFont="1"/>
    <xf numFmtId="38" fontId="16" fillId="0" borderId="0" xfId="0" applyFont="1"/>
    <xf numFmtId="38" fontId="16" fillId="0" borderId="14" xfId="0" applyFont="1" applyBorder="1" applyAlignment="1">
      <alignment horizontal="center" wrapText="1"/>
    </xf>
    <xf numFmtId="38" fontId="18" fillId="0" borderId="14" xfId="0" applyFont="1" applyBorder="1"/>
    <xf numFmtId="171" fontId="0" fillId="0" borderId="0" xfId="0" applyNumberFormat="1" applyAlignment="1">
      <alignment horizontal="center"/>
    </xf>
    <xf numFmtId="171" fontId="0" fillId="0" borderId="14" xfId="0" applyNumberFormat="1" applyBorder="1" applyAlignment="1">
      <alignment horizontal="center"/>
    </xf>
    <xf numFmtId="38" fontId="11" fillId="6" borderId="0" xfId="8"/>
    <xf numFmtId="38" fontId="11" fillId="7" borderId="0" xfId="1"/>
    <xf numFmtId="38" fontId="19" fillId="0" borderId="0" xfId="10" applyNumberFormat="1"/>
    <xf numFmtId="38" fontId="17" fillId="8" borderId="21" xfId="0" applyFont="1" applyFill="1" applyBorder="1" applyAlignment="1">
      <alignment horizontal="center" wrapText="1"/>
    </xf>
    <xf numFmtId="38" fontId="17" fillId="8" borderId="14" xfId="0" applyFont="1" applyFill="1" applyBorder="1" applyAlignment="1">
      <alignment horizontal="center" wrapText="1"/>
    </xf>
    <xf numFmtId="38" fontId="12" fillId="8" borderId="14" xfId="0" applyFont="1" applyFill="1" applyBorder="1" applyAlignment="1">
      <alignment horizontal="center" wrapText="1"/>
    </xf>
    <xf numFmtId="38" fontId="17" fillId="8" borderId="22" xfId="0" applyFont="1" applyFill="1" applyBorder="1" applyAlignment="1">
      <alignment horizontal="center" wrapText="1"/>
    </xf>
    <xf numFmtId="38" fontId="17" fillId="8" borderId="21" xfId="11" applyBorder="1">
      <alignment horizontal="center" wrapText="1"/>
    </xf>
    <xf numFmtId="38" fontId="17" fillId="8" borderId="14" xfId="11" applyBorder="1">
      <alignment horizontal="center" wrapText="1"/>
    </xf>
    <xf numFmtId="38" fontId="17" fillId="8" borderId="22" xfId="11" applyBorder="1">
      <alignment horizontal="center" wrapText="1"/>
    </xf>
    <xf numFmtId="38" fontId="17" fillId="8" borderId="16" xfId="11" applyBorder="1">
      <alignment horizontal="center" wrapText="1"/>
    </xf>
    <xf numFmtId="38" fontId="17" fillId="8" borderId="15" xfId="11" applyBorder="1">
      <alignment horizontal="center" wrapText="1"/>
    </xf>
    <xf numFmtId="171" fontId="0" fillId="0" borderId="17" xfId="0" applyNumberFormat="1" applyBorder="1" applyAlignment="1">
      <alignment horizontal="center"/>
    </xf>
    <xf numFmtId="171" fontId="0" fillId="0" borderId="5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171" fontId="0" fillId="0" borderId="0" xfId="0" applyNumberFormat="1" applyBorder="1" applyAlignment="1">
      <alignment horizontal="center"/>
    </xf>
    <xf numFmtId="38" fontId="11" fillId="6" borderId="2" xfId="8" applyBorder="1"/>
    <xf numFmtId="38" fontId="11" fillId="7" borderId="2" xfId="1" applyBorder="1"/>
    <xf numFmtId="171" fontId="0" fillId="0" borderId="16" xfId="0" applyNumberFormat="1" applyBorder="1" applyAlignment="1">
      <alignment horizontal="center"/>
    </xf>
    <xf numFmtId="38" fontId="11" fillId="6" borderId="17" xfId="8" applyBorder="1"/>
    <xf numFmtId="38" fontId="11" fillId="7" borderId="16" xfId="1" applyBorder="1"/>
    <xf numFmtId="38" fontId="17" fillId="8" borderId="19" xfId="0" applyFont="1" applyFill="1" applyBorder="1" applyAlignment="1">
      <alignment horizontal="center" wrapText="1"/>
    </xf>
    <xf numFmtId="38" fontId="17" fillId="8" borderId="19" xfId="11" applyBorder="1">
      <alignment horizontal="center" wrapText="1"/>
    </xf>
    <xf numFmtId="0" fontId="11" fillId="0" borderId="0" xfId="6" applyNumberFormat="1" applyFont="1" applyBorder="1"/>
    <xf numFmtId="38" fontId="0" fillId="10" borderId="5" xfId="0" applyFill="1" applyBorder="1"/>
    <xf numFmtId="38" fontId="0" fillId="10" borderId="0" xfId="13" applyFont="1" applyBorder="1"/>
    <xf numFmtId="38" fontId="0" fillId="10" borderId="0" xfId="13" applyFont="1"/>
    <xf numFmtId="38" fontId="0" fillId="10" borderId="5" xfId="13" applyFont="1" applyBorder="1"/>
    <xf numFmtId="38" fontId="2" fillId="0" borderId="5" xfId="0" applyFont="1" applyBorder="1"/>
    <xf numFmtId="38" fontId="14" fillId="0" borderId="5" xfId="0" applyFont="1" applyBorder="1" applyAlignment="1"/>
    <xf numFmtId="165" fontId="13" fillId="0" borderId="0" xfId="9" applyFont="1" applyFill="1" applyBorder="1">
      <alignment horizontal="center"/>
    </xf>
    <xf numFmtId="38" fontId="14" fillId="0" borderId="5" xfId="0" applyFont="1" applyBorder="1"/>
    <xf numFmtId="165" fontId="11" fillId="7" borderId="2" xfId="9" applyFill="1">
      <alignment horizontal="center"/>
    </xf>
    <xf numFmtId="165" fontId="13" fillId="11" borderId="2" xfId="7" applyNumberFormat="1" applyFont="1" applyBorder="1" applyAlignment="1">
      <alignment horizontal="center"/>
    </xf>
    <xf numFmtId="165" fontId="13" fillId="11" borderId="0" xfId="7" applyNumberFormat="1" applyFont="1" applyBorder="1" applyAlignment="1">
      <alignment horizontal="center"/>
    </xf>
    <xf numFmtId="38" fontId="13" fillId="12" borderId="4" xfId="14" applyFont="1" applyBorder="1"/>
    <xf numFmtId="38" fontId="13" fillId="12" borderId="0" xfId="14" applyFont="1" applyBorder="1"/>
    <xf numFmtId="38" fontId="13" fillId="12" borderId="3" xfId="14" applyFont="1" applyBorder="1"/>
    <xf numFmtId="165" fontId="13" fillId="0" borderId="4" xfId="9" applyFont="1" applyBorder="1">
      <alignment horizontal="center"/>
    </xf>
    <xf numFmtId="165" fontId="13" fillId="0" borderId="3" xfId="9" applyFont="1" applyBorder="1">
      <alignment horizontal="center"/>
    </xf>
    <xf numFmtId="38" fontId="13" fillId="5" borderId="4" xfId="0" applyFont="1" applyFill="1" applyBorder="1" applyAlignment="1">
      <alignment horizontal="center"/>
    </xf>
    <xf numFmtId="38" fontId="13" fillId="5" borderId="3" xfId="0" applyFont="1" applyFill="1" applyBorder="1" applyAlignment="1">
      <alignment horizontal="center"/>
    </xf>
    <xf numFmtId="38" fontId="13" fillId="5" borderId="24" xfId="8" applyFont="1" applyFill="1" applyBorder="1" applyAlignment="1">
      <alignment horizontal="center"/>
    </xf>
    <xf numFmtId="38" fontId="13" fillId="5" borderId="25" xfId="8" applyFont="1" applyFill="1" applyBorder="1" applyAlignment="1">
      <alignment horizontal="center"/>
    </xf>
    <xf numFmtId="38" fontId="13" fillId="5" borderId="36" xfId="1" applyFont="1" applyFill="1" applyBorder="1" applyAlignment="1">
      <alignment horizontal="center"/>
    </xf>
    <xf numFmtId="38" fontId="13" fillId="5" borderId="38" xfId="1" applyFont="1" applyFill="1" applyBorder="1" applyAlignment="1">
      <alignment horizontal="center"/>
    </xf>
    <xf numFmtId="38" fontId="13" fillId="0" borderId="10" xfId="0" applyFont="1" applyBorder="1" applyAlignment="1">
      <alignment horizontal="center"/>
    </xf>
    <xf numFmtId="38" fontId="13" fillId="0" borderId="20" xfId="0" applyFont="1" applyBorder="1" applyAlignment="1">
      <alignment horizontal="center"/>
    </xf>
    <xf numFmtId="38" fontId="13" fillId="5" borderId="4" xfId="0" applyFont="1" applyFill="1" applyBorder="1"/>
    <xf numFmtId="38" fontId="13" fillId="5" borderId="3" xfId="0" applyFont="1" applyFill="1" applyBorder="1"/>
    <xf numFmtId="38" fontId="13" fillId="5" borderId="4" xfId="7" applyFont="1" applyFill="1" applyBorder="1" applyAlignment="1">
      <alignment horizontal="center"/>
    </xf>
    <xf numFmtId="38" fontId="13" fillId="5" borderId="3" xfId="7" applyFont="1" applyFill="1" applyBorder="1" applyAlignment="1">
      <alignment horizontal="center"/>
    </xf>
    <xf numFmtId="38" fontId="13" fillId="5" borderId="21" xfId="7" applyFont="1" applyFill="1" applyBorder="1" applyAlignment="1">
      <alignment horizontal="center"/>
    </xf>
    <xf numFmtId="38" fontId="13" fillId="5" borderId="22" xfId="7" applyFont="1" applyFill="1" applyBorder="1" applyAlignment="1">
      <alignment horizontal="center"/>
    </xf>
    <xf numFmtId="38" fontId="13" fillId="5" borderId="4" xfId="1" applyFont="1" applyFill="1" applyBorder="1"/>
    <xf numFmtId="38" fontId="13" fillId="5" borderId="3" xfId="1" applyFont="1" applyFill="1" applyBorder="1" applyAlignment="1">
      <alignment horizontal="center"/>
    </xf>
    <xf numFmtId="38" fontId="13" fillId="5" borderId="4" xfId="1" applyFont="1" applyFill="1" applyBorder="1" applyAlignment="1">
      <alignment horizontal="center"/>
    </xf>
    <xf numFmtId="38" fontId="13" fillId="5" borderId="21" xfId="1" applyFont="1" applyFill="1" applyBorder="1"/>
    <xf numFmtId="38" fontId="13" fillId="5" borderId="22" xfId="1" applyFont="1" applyFill="1" applyBorder="1" applyAlignment="1">
      <alignment horizontal="center"/>
    </xf>
    <xf numFmtId="38" fontId="13" fillId="0" borderId="27" xfId="0" applyFont="1" applyBorder="1" applyAlignment="1">
      <alignment horizontal="center"/>
    </xf>
    <xf numFmtId="38" fontId="13" fillId="0" borderId="1" xfId="0" applyFont="1" applyBorder="1" applyAlignment="1">
      <alignment horizontal="center"/>
    </xf>
    <xf numFmtId="38" fontId="13" fillId="0" borderId="28" xfId="0" applyFont="1" applyBorder="1" applyAlignment="1">
      <alignment horizontal="center"/>
    </xf>
    <xf numFmtId="38" fontId="19" fillId="0" borderId="17" xfId="10" applyNumberFormat="1" applyBorder="1"/>
    <xf numFmtId="38" fontId="19" fillId="0" borderId="17" xfId="10" applyNumberFormat="1" applyBorder="1" applyAlignment="1"/>
    <xf numFmtId="165" fontId="0" fillId="0" borderId="2" xfId="9" applyFont="1">
      <alignment horizontal="center"/>
    </xf>
    <xf numFmtId="38" fontId="13" fillId="6" borderId="13" xfId="8" applyFont="1" applyBorder="1"/>
    <xf numFmtId="38" fontId="13" fillId="11" borderId="27" xfId="7" applyFont="1" applyBorder="1"/>
    <xf numFmtId="38" fontId="13" fillId="11" borderId="1" xfId="7" applyFont="1" applyBorder="1"/>
    <xf numFmtId="38" fontId="13" fillId="11" borderId="28" xfId="7" applyFont="1" applyBorder="1"/>
    <xf numFmtId="14" fontId="0" fillId="0" borderId="0" xfId="0" applyNumberFormat="1"/>
    <xf numFmtId="3" fontId="13" fillId="0" borderId="27" xfId="0" applyNumberFormat="1" applyFont="1" applyBorder="1"/>
    <xf numFmtId="3" fontId="13" fillId="0" borderId="1" xfId="0" applyNumberFormat="1" applyFont="1" applyBorder="1"/>
    <xf numFmtId="9" fontId="13" fillId="0" borderId="29" xfId="6" applyFont="1" applyBorder="1"/>
    <xf numFmtId="3" fontId="13" fillId="0" borderId="1" xfId="0" applyNumberFormat="1" applyFont="1" applyFill="1" applyBorder="1"/>
    <xf numFmtId="3" fontId="13" fillId="0" borderId="28" xfId="0" applyNumberFormat="1" applyFont="1" applyBorder="1"/>
    <xf numFmtId="38" fontId="17" fillId="8" borderId="42" xfId="11" applyBorder="1">
      <alignment horizontal="center" wrapText="1"/>
    </xf>
    <xf numFmtId="38" fontId="13" fillId="5" borderId="27" xfId="0" applyFont="1" applyFill="1" applyBorder="1" applyAlignment="1">
      <alignment horizontal="center"/>
    </xf>
    <xf numFmtId="38" fontId="13" fillId="5" borderId="1" xfId="0" applyFont="1" applyFill="1" applyBorder="1" applyAlignment="1">
      <alignment horizontal="center"/>
    </xf>
    <xf numFmtId="38" fontId="13" fillId="5" borderId="28" xfId="0" applyFont="1" applyFill="1" applyBorder="1" applyAlignment="1">
      <alignment horizontal="center"/>
    </xf>
    <xf numFmtId="168" fontId="11" fillId="0" borderId="0" xfId="6" applyNumberFormat="1" applyFont="1" applyBorder="1"/>
    <xf numFmtId="10" fontId="11" fillId="0" borderId="0" xfId="6" applyNumberFormat="1" applyFont="1" applyBorder="1"/>
    <xf numFmtId="168" fontId="0" fillId="0" borderId="0" xfId="6" applyNumberFormat="1" applyFont="1"/>
    <xf numFmtId="38" fontId="0" fillId="0" borderId="4" xfId="12" applyFont="1" applyFill="1" applyBorder="1"/>
    <xf numFmtId="38" fontId="0" fillId="13" borderId="0" xfId="15" applyFont="1" applyBorder="1"/>
    <xf numFmtId="38" fontId="0" fillId="13" borderId="5" xfId="15" applyFont="1" applyBorder="1"/>
    <xf numFmtId="38" fontId="11" fillId="13" borderId="18" xfId="15" applyBorder="1"/>
    <xf numFmtId="38" fontId="11" fillId="13" borderId="7" xfId="15" applyBorder="1"/>
    <xf numFmtId="38" fontId="11" fillId="13" borderId="6" xfId="15" applyBorder="1"/>
    <xf numFmtId="38" fontId="11" fillId="13" borderId="26" xfId="15" applyBorder="1"/>
    <xf numFmtId="38" fontId="11" fillId="13" borderId="0" xfId="15" applyBorder="1"/>
    <xf numFmtId="38" fontId="0" fillId="0" borderId="0" xfId="0"/>
    <xf numFmtId="38" fontId="0" fillId="0" borderId="0" xfId="0"/>
    <xf numFmtId="165" fontId="0" fillId="0" borderId="2" xfId="9" applyFont="1" applyBorder="1">
      <alignment horizontal="center"/>
    </xf>
    <xf numFmtId="38" fontId="13" fillId="10" borderId="0" xfId="13" applyFont="1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0" xfId="0" applyNumberFormat="1" applyBorder="1"/>
    <xf numFmtId="0" fontId="0" fillId="0" borderId="4" xfId="0" applyNumberFormat="1" applyBorder="1"/>
    <xf numFmtId="0" fontId="0" fillId="0" borderId="4" xfId="0" applyNumberFormat="1" applyFill="1" applyBorder="1"/>
    <xf numFmtId="38" fontId="0" fillId="0" borderId="0" xfId="0"/>
    <xf numFmtId="38" fontId="0" fillId="0" borderId="0" xfId="0"/>
    <xf numFmtId="38" fontId="0" fillId="0" borderId="0" xfId="0"/>
    <xf numFmtId="38" fontId="0" fillId="0" borderId="0" xfId="0"/>
    <xf numFmtId="14" fontId="17" fillId="8" borderId="14" xfId="11" applyNumberFormat="1" applyBorder="1">
      <alignment horizontal="center" wrapText="1"/>
    </xf>
    <xf numFmtId="38" fontId="3" fillId="0" borderId="0" xfId="0" applyNumberFormat="1" applyFont="1"/>
    <xf numFmtId="38" fontId="17" fillId="8" borderId="14" xfId="11" applyNumberFormat="1" applyBorder="1">
      <alignment horizontal="center" wrapText="1"/>
    </xf>
    <xf numFmtId="38" fontId="0" fillId="0" borderId="5" xfId="0" applyNumberFormat="1" applyBorder="1"/>
    <xf numFmtId="38" fontId="0" fillId="0" borderId="0" xfId="0" applyNumberFormat="1" applyBorder="1"/>
    <xf numFmtId="38" fontId="11" fillId="6" borderId="6" xfId="8" applyNumberFormat="1" applyBorder="1"/>
    <xf numFmtId="38" fontId="11" fillId="7" borderId="0" xfId="1" applyNumberFormat="1" applyBorder="1"/>
    <xf numFmtId="38" fontId="0" fillId="0" borderId="14" xfId="0" applyNumberFormat="1" applyBorder="1"/>
    <xf numFmtId="38" fontId="0" fillId="0" borderId="0" xfId="0" applyNumberFormat="1" applyFill="1" applyBorder="1"/>
    <xf numFmtId="38" fontId="11" fillId="6" borderId="5" xfId="8" applyNumberFormat="1" applyBorder="1"/>
    <xf numFmtId="38" fontId="11" fillId="7" borderId="14" xfId="1" applyNumberFormat="1" applyBorder="1"/>
    <xf numFmtId="38" fontId="0" fillId="0" borderId="1" xfId="0" applyNumberFormat="1" applyBorder="1"/>
    <xf numFmtId="0" fontId="0" fillId="0" borderId="29" xfId="0" applyNumberFormat="1" applyBorder="1" applyAlignment="1">
      <alignment horizontal="center"/>
    </xf>
    <xf numFmtId="38" fontId="17" fillId="8" borderId="0" xfId="0" applyFont="1" applyFill="1" applyBorder="1" applyAlignment="1">
      <alignment horizontal="center" wrapText="1"/>
    </xf>
    <xf numFmtId="3" fontId="0" fillId="0" borderId="0" xfId="0" applyNumberFormat="1"/>
    <xf numFmtId="0" fontId="0" fillId="0" borderId="0" xfId="0" applyNumberFormat="1"/>
    <xf numFmtId="3" fontId="0" fillId="0" borderId="4" xfId="0" applyNumberFormat="1" applyBorder="1"/>
    <xf numFmtId="38" fontId="0" fillId="0" borderId="0" xfId="0"/>
    <xf numFmtId="38" fontId="0" fillId="10" borderId="0" xfId="0" applyFill="1" applyBorder="1"/>
    <xf numFmtId="38" fontId="0" fillId="0" borderId="0" xfId="0"/>
    <xf numFmtId="38" fontId="0" fillId="14" borderId="5" xfId="0" applyNumberFormat="1" applyFill="1" applyBorder="1"/>
    <xf numFmtId="38" fontId="0" fillId="14" borderId="0" xfId="0" applyNumberFormat="1" applyFill="1" applyBorder="1"/>
    <xf numFmtId="38" fontId="3" fillId="14" borderId="0" xfId="0" applyNumberFormat="1" applyFont="1" applyFill="1" applyBorder="1"/>
    <xf numFmtId="38" fontId="13" fillId="10" borderId="12" xfId="13" applyFont="1" applyBorder="1"/>
    <xf numFmtId="38" fontId="0" fillId="0" borderId="0" xfId="0"/>
    <xf numFmtId="38" fontId="0" fillId="0" borderId="0" xfId="0"/>
    <xf numFmtId="172" fontId="0" fillId="0" borderId="10" xfId="0" applyNumberFormat="1" applyBorder="1"/>
    <xf numFmtId="172" fontId="0" fillId="0" borderId="4" xfId="0" applyNumberFormat="1" applyBorder="1"/>
    <xf numFmtId="172" fontId="0" fillId="0" borderId="0" xfId="0" applyNumberFormat="1"/>
    <xf numFmtId="172" fontId="17" fillId="8" borderId="21" xfId="11" applyNumberFormat="1" applyBorder="1">
      <alignment horizontal="center" wrapText="1"/>
    </xf>
    <xf numFmtId="172" fontId="11" fillId="6" borderId="24" xfId="8" applyNumberFormat="1" applyBorder="1"/>
    <xf numFmtId="172" fontId="11" fillId="7" borderId="4" xfId="1" applyNumberFormat="1" applyBorder="1"/>
    <xf numFmtId="172" fontId="0" fillId="0" borderId="21" xfId="0" applyNumberFormat="1" applyBorder="1"/>
    <xf numFmtId="172" fontId="11" fillId="6" borderId="10" xfId="8" applyNumberFormat="1" applyBorder="1"/>
    <xf numFmtId="172" fontId="11" fillId="7" borderId="21" xfId="1" applyNumberFormat="1" applyBorder="1"/>
    <xf numFmtId="172" fontId="0" fillId="0" borderId="27" xfId="0" applyNumberFormat="1" applyBorder="1"/>
    <xf numFmtId="172" fontId="3" fillId="0" borderId="0" xfId="0" applyNumberFormat="1" applyFont="1"/>
    <xf numFmtId="172" fontId="17" fillId="8" borderId="14" xfId="11" applyNumberFormat="1" applyBorder="1">
      <alignment horizontal="center" wrapText="1"/>
    </xf>
    <xf numFmtId="172" fontId="0" fillId="0" borderId="5" xfId="0" applyNumberFormat="1" applyBorder="1"/>
    <xf numFmtId="172" fontId="0" fillId="0" borderId="0" xfId="0" applyNumberFormat="1" applyBorder="1"/>
    <xf numFmtId="172" fontId="11" fillId="6" borderId="6" xfId="8" applyNumberFormat="1" applyBorder="1"/>
    <xf numFmtId="172" fontId="11" fillId="7" borderId="0" xfId="1" applyNumberFormat="1" applyBorder="1"/>
    <xf numFmtId="172" fontId="0" fillId="0" borderId="14" xfId="0" applyNumberFormat="1" applyBorder="1"/>
    <xf numFmtId="172" fontId="0" fillId="0" borderId="0" xfId="0" applyNumberFormat="1" applyFill="1" applyBorder="1"/>
    <xf numFmtId="172" fontId="0" fillId="0" borderId="5" xfId="0" applyNumberFormat="1" applyFill="1" applyBorder="1"/>
    <xf numFmtId="172" fontId="3" fillId="0" borderId="0" xfId="0" applyNumberFormat="1" applyFont="1" applyFill="1" applyBorder="1"/>
    <xf numFmtId="172" fontId="11" fillId="6" borderId="5" xfId="8" applyNumberFormat="1" applyBorder="1"/>
    <xf numFmtId="172" fontId="11" fillId="7" borderId="14" xfId="1" applyNumberFormat="1" applyBorder="1"/>
    <xf numFmtId="172" fontId="0" fillId="0" borderId="1" xfId="0" applyNumberFormat="1" applyBorder="1"/>
    <xf numFmtId="38" fontId="0" fillId="0" borderId="0" xfId="0"/>
    <xf numFmtId="38" fontId="17" fillId="8" borderId="43" xfId="11" applyBorder="1">
      <alignment horizontal="center" wrapText="1"/>
    </xf>
    <xf numFmtId="38" fontId="0" fillId="0" borderId="7" xfId="0" applyBorder="1"/>
    <xf numFmtId="38" fontId="0" fillId="0" borderId="18" xfId="0" applyFill="1" applyBorder="1"/>
    <xf numFmtId="38" fontId="0" fillId="0" borderId="7" xfId="0" applyFill="1" applyBorder="1"/>
    <xf numFmtId="38" fontId="0" fillId="0" borderId="0" xfId="0"/>
    <xf numFmtId="9" fontId="0" fillId="0" borderId="18" xfId="6" applyFont="1" applyBorder="1"/>
    <xf numFmtId="38" fontId="0" fillId="0" borderId="0" xfId="0"/>
    <xf numFmtId="38" fontId="0" fillId="0" borderId="0" xfId="0"/>
    <xf numFmtId="0" fontId="0" fillId="0" borderId="3" xfId="0" applyNumberFormat="1" applyBorder="1"/>
    <xf numFmtId="38" fontId="0" fillId="0" borderId="45" xfId="0" applyBorder="1"/>
    <xf numFmtId="38" fontId="0" fillId="0" borderId="46" xfId="0" applyBorder="1"/>
    <xf numFmtId="38" fontId="0" fillId="0" borderId="44" xfId="0" applyBorder="1"/>
    <xf numFmtId="172" fontId="0" fillId="0" borderId="46" xfId="0" applyNumberFormat="1" applyBorder="1"/>
    <xf numFmtId="38" fontId="0" fillId="0" borderId="46" xfId="0" applyNumberFormat="1" applyBorder="1"/>
    <xf numFmtId="38" fontId="0" fillId="0" borderId="47" xfId="0" applyBorder="1"/>
    <xf numFmtId="38" fontId="0" fillId="0" borderId="4" xfId="0" applyNumberFormat="1" applyBorder="1"/>
    <xf numFmtId="38" fontId="0" fillId="0" borderId="4" xfId="0" applyNumberFormat="1" applyFill="1" applyBorder="1"/>
    <xf numFmtId="38" fontId="0" fillId="0" borderId="0" xfId="0"/>
    <xf numFmtId="38" fontId="0" fillId="0" borderId="10" xfId="0" applyNumberFormat="1" applyBorder="1"/>
    <xf numFmtId="165" fontId="0" fillId="12" borderId="2" xfId="14" applyNumberFormat="1" applyFont="1" applyBorder="1" applyAlignment="1">
      <alignment horizontal="center"/>
    </xf>
    <xf numFmtId="38" fontId="0" fillId="0" borderId="0" xfId="0"/>
    <xf numFmtId="38" fontId="17" fillId="8" borderId="34" xfId="11" applyBorder="1" applyAlignment="1">
      <alignment horizontal="center" wrapText="1"/>
    </xf>
    <xf numFmtId="38" fontId="17" fillId="8" borderId="33" xfId="11" applyBorder="1" applyAlignment="1">
      <alignment horizontal="center" wrapText="1"/>
    </xf>
    <xf numFmtId="38" fontId="17" fillId="8" borderId="35" xfId="11" applyBorder="1" applyAlignment="1">
      <alignment horizontal="center" wrapText="1"/>
    </xf>
    <xf numFmtId="38" fontId="17" fillId="8" borderId="34" xfId="11" applyBorder="1">
      <alignment horizontal="center" wrapText="1"/>
    </xf>
    <xf numFmtId="38" fontId="17" fillId="8" borderId="35" xfId="11" applyBorder="1">
      <alignment horizontal="center" wrapText="1"/>
    </xf>
    <xf numFmtId="38" fontId="17" fillId="8" borderId="33" xfId="11" applyBorder="1">
      <alignment horizontal="center" wrapText="1"/>
    </xf>
    <xf numFmtId="38" fontId="0" fillId="0" borderId="0" xfId="0"/>
    <xf numFmtId="38" fontId="9" fillId="0" borderId="31" xfId="0" applyFont="1" applyFill="1" applyBorder="1" applyAlignment="1">
      <alignment vertical="top" wrapText="1"/>
    </xf>
    <xf numFmtId="38" fontId="9" fillId="0" borderId="18" xfId="0" applyFont="1" applyFill="1" applyBorder="1" applyAlignment="1">
      <alignment vertical="top" wrapText="1"/>
    </xf>
    <xf numFmtId="38" fontId="9" fillId="0" borderId="29" xfId="0" applyFont="1" applyFill="1" applyBorder="1" applyAlignment="1">
      <alignment vertical="top" wrapText="1"/>
    </xf>
  </cellXfs>
  <cellStyles count="16">
    <cellStyle name="Averages" xfId="1"/>
    <cellStyle name="Column Header" xfId="11"/>
    <cellStyle name="costs" xfId="2"/>
    <cellStyle name="Current FY Estimate" xfId="14"/>
    <cellStyle name="Date" xfId="3"/>
    <cellStyle name="Does Not Currently Exist" xfId="13"/>
    <cellStyle name="Estimate" xfId="4"/>
    <cellStyle name="Label" xfId="5"/>
    <cellStyle name="Missing Data" xfId="12"/>
    <cellStyle name="Normal" xfId="0" builtinId="0" customBuiltin="1"/>
    <cellStyle name="Obsolete" xfId="15"/>
    <cellStyle name="Percent" xfId="6" builtinId="5"/>
    <cellStyle name="Projections" xfId="7"/>
    <cellStyle name="Title" xfId="10" builtinId="15" customBuiltin="1"/>
    <cellStyle name="Totals" xfId="8"/>
    <cellStyle name="Year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93234</xdr:colOff>
      <xdr:row>31</xdr:row>
      <xdr:rowOff>0</xdr:rowOff>
    </xdr:from>
    <xdr:ext cx="10976851" cy="819150"/>
    <xdr:sp macro="" textlink="">
      <xdr:nvSpPr>
        <xdr:cNvPr id="3" name="Rectangle 2"/>
        <xdr:cNvSpPr/>
      </xdr:nvSpPr>
      <xdr:spPr>
        <a:xfrm>
          <a:off x="988584" y="5600700"/>
          <a:ext cx="10976851" cy="8191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DO NOT ENTER</a:t>
          </a:r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DATA ON THIS SHEET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0976851" cy="819150"/>
    <xdr:sp macro="" textlink="">
      <xdr:nvSpPr>
        <xdr:cNvPr id="2" name="Rectangle 1"/>
        <xdr:cNvSpPr/>
      </xdr:nvSpPr>
      <xdr:spPr>
        <a:xfrm>
          <a:off x="1228725" y="2752725"/>
          <a:ext cx="10976851" cy="8191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DO NOT CHANGE</a:t>
          </a:r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THIS WORKSHEET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896"/>
  <sheetViews>
    <sheetView tabSelected="1" workbookViewId="0">
      <pane xSplit="1" ySplit="3" topLeftCell="DC595" activePane="bottomRight" state="frozenSplit"/>
      <selection activeCell="H76" sqref="H76"/>
      <selection pane="topRight" activeCell="H76" sqref="H76"/>
      <selection pane="bottomLeft" activeCell="H76" sqref="H76"/>
      <selection pane="bottomRight" activeCell="DW623" sqref="DW623"/>
    </sheetView>
  </sheetViews>
  <sheetFormatPr defaultColWidth="9.33203125" defaultRowHeight="11.25"/>
  <cols>
    <col min="1" max="1" width="13.83203125" style="194" customWidth="1"/>
    <col min="2" max="2" width="1.83203125" style="194" customWidth="1"/>
    <col min="3" max="3" width="6.33203125" style="1" customWidth="1"/>
    <col min="4" max="4" width="7.33203125" style="1" customWidth="1"/>
    <col min="5" max="15" width="6.33203125" style="1" customWidth="1"/>
    <col min="16" max="16" width="10.6640625" style="1" customWidth="1"/>
    <col min="17" max="17" width="7" style="1" customWidth="1"/>
    <col min="18" max="18" width="4.83203125" style="1" customWidth="1"/>
    <col min="19" max="19" width="8.83203125" style="1" customWidth="1"/>
    <col min="20" max="20" width="9" style="1" customWidth="1"/>
    <col min="21" max="21" width="12.83203125" style="1" customWidth="1"/>
    <col min="22" max="22" width="12.1640625" style="1" customWidth="1"/>
    <col min="23" max="23" width="10.33203125" style="1" customWidth="1"/>
    <col min="24" max="24" width="12.6640625" style="1" customWidth="1"/>
    <col min="25" max="25" width="3.33203125" style="1" customWidth="1"/>
    <col min="26" max="26" width="12.5" style="6" customWidth="1"/>
    <col min="27" max="27" width="15.83203125" style="6" customWidth="1"/>
    <col min="28" max="28" width="1.83203125" style="6" customWidth="1"/>
    <col min="29" max="30" width="12.6640625" style="6" customWidth="1"/>
    <col min="31" max="31" width="13.5" style="6" customWidth="1"/>
    <col min="32" max="32" width="3.33203125" style="1" customWidth="1"/>
    <col min="33" max="33" width="11" style="6" customWidth="1"/>
    <col min="34" max="34" width="12" style="6" customWidth="1"/>
    <col min="35" max="35" width="8.33203125" style="6" customWidth="1"/>
    <col min="36" max="36" width="8.33203125" style="1" customWidth="1"/>
    <col min="37" max="37" width="3.33203125" style="1" customWidth="1"/>
    <col min="38" max="39" width="8.33203125" style="1" customWidth="1"/>
    <col min="40" max="40" width="11.33203125" style="1" customWidth="1"/>
    <col min="41" max="42" width="8.33203125" style="1" customWidth="1"/>
    <col min="43" max="44" width="10.83203125" style="1" customWidth="1"/>
    <col min="45" max="45" width="12.1640625" style="1" customWidth="1"/>
    <col min="46" max="46" width="10.83203125" style="1" customWidth="1"/>
    <col min="47" max="47" width="12.1640625" style="6" customWidth="1"/>
    <col min="48" max="48" width="12.1640625" style="1" customWidth="1"/>
    <col min="49" max="49" width="3.33203125" style="1" customWidth="1"/>
    <col min="50" max="50" width="12" style="335" customWidth="1"/>
    <col min="51" max="51" width="9.83203125" style="1" customWidth="1"/>
    <col min="52" max="52" width="3.33203125" style="1" customWidth="1"/>
    <col min="53" max="53" width="8.5" style="1" customWidth="1"/>
    <col min="54" max="54" width="13.33203125" style="1" customWidth="1"/>
    <col min="55" max="56" width="14.33203125" style="4" customWidth="1"/>
    <col min="57" max="57" width="8.83203125" style="1" customWidth="1"/>
    <col min="58" max="58" width="8" style="1" customWidth="1"/>
    <col min="59" max="60" width="7.6640625" style="1" customWidth="1"/>
    <col min="61" max="61" width="12.83203125" style="1" customWidth="1"/>
    <col min="62" max="62" width="12.83203125" style="335" customWidth="1"/>
    <col min="63" max="63" width="10.5" style="335" bestFit="1" customWidth="1"/>
    <col min="64" max="64" width="7.1640625" style="300" bestFit="1" customWidth="1"/>
    <col min="65" max="65" width="8.33203125" style="1" customWidth="1"/>
    <col min="66" max="66" width="3.33203125" style="1" customWidth="1"/>
    <col min="67" max="67" width="10.5" style="1" customWidth="1"/>
    <col min="68" max="68" width="9.33203125" style="1"/>
    <col min="69" max="69" width="3.5" style="1" customWidth="1"/>
    <col min="70" max="70" width="7.33203125" style="7" customWidth="1"/>
    <col min="71" max="71" width="9.1640625" style="2" customWidth="1"/>
    <col min="72" max="72" width="7.6640625" style="19" customWidth="1"/>
    <col min="73" max="73" width="3.5" style="1" customWidth="1"/>
    <col min="74" max="74" width="13.33203125" style="1" customWidth="1"/>
    <col min="75" max="75" width="11" style="1" customWidth="1"/>
    <col min="76" max="76" width="9.1640625" style="1" customWidth="1"/>
    <col min="77" max="77" width="8.5" style="1" customWidth="1"/>
    <col min="78" max="78" width="8" style="1" customWidth="1"/>
    <col min="79" max="79" width="12" style="1" customWidth="1"/>
    <col min="80" max="80" width="8" style="1" customWidth="1"/>
    <col min="81" max="81" width="7.83203125" style="1" customWidth="1"/>
    <col min="82" max="82" width="10" style="1" customWidth="1"/>
    <col min="83" max="83" width="11.1640625" style="1" customWidth="1"/>
    <col min="84" max="84" width="12.83203125" style="1" customWidth="1"/>
    <col min="85" max="85" width="11.33203125" style="1" customWidth="1"/>
    <col min="86" max="86" width="11.83203125" style="1" customWidth="1"/>
    <col min="87" max="87" width="9.6640625" style="1" customWidth="1"/>
    <col min="88" max="90" width="13.1640625" style="1" customWidth="1"/>
    <col min="91" max="91" width="10.5" style="1" customWidth="1"/>
    <col min="92" max="92" width="8.83203125" style="1" customWidth="1"/>
    <col min="93" max="93" width="6.1640625" style="1" customWidth="1"/>
    <col min="94" max="94" width="8.1640625" style="1" customWidth="1"/>
    <col min="95" max="96" width="10.5" style="1" customWidth="1"/>
    <col min="97" max="97" width="12" style="1" customWidth="1"/>
    <col min="98" max="98" width="8.33203125" style="1" customWidth="1"/>
    <col min="99" max="99" width="11.5" style="1" customWidth="1"/>
    <col min="100" max="100" width="9.5" style="1" customWidth="1"/>
    <col min="101" max="101" width="11.1640625" style="1" customWidth="1"/>
    <col min="102" max="102" width="12.5" style="1" customWidth="1"/>
    <col min="103" max="103" width="11.83203125" style="1" customWidth="1"/>
    <col min="104" max="104" width="10.5" style="1" customWidth="1"/>
    <col min="105" max="105" width="12.33203125" style="1" customWidth="1"/>
    <col min="106" max="106" width="10" style="1" customWidth="1"/>
    <col min="107" max="107" width="9.5" style="1" customWidth="1"/>
    <col min="108" max="108" width="11.5" style="1" customWidth="1"/>
    <col min="109" max="109" width="12.6640625" style="1" customWidth="1"/>
    <col min="110" max="110" width="11.83203125" style="1" customWidth="1"/>
    <col min="111" max="111" width="6.5" style="1" customWidth="1"/>
    <col min="112" max="112" width="11.33203125" style="1" customWidth="1"/>
    <col min="113" max="113" width="9.5" style="1" customWidth="1"/>
    <col min="114" max="115" width="11.5" style="1" customWidth="1"/>
    <col min="116" max="116" width="8.5" style="1" customWidth="1"/>
    <col min="117" max="117" width="11.83203125" style="1" customWidth="1"/>
    <col min="118" max="118" width="10.5" style="1" customWidth="1"/>
    <col min="119" max="119" width="13.6640625" style="1" customWidth="1"/>
    <col min="120" max="120" width="13.5" style="1" customWidth="1"/>
    <col min="121" max="122" width="9.1640625" style="1" customWidth="1"/>
    <col min="123" max="123" width="9.6640625" style="1" customWidth="1"/>
    <col min="124" max="124" width="8.83203125" style="1" customWidth="1"/>
    <col min="125" max="125" width="6.1640625" style="1" customWidth="1"/>
    <col min="126" max="126" width="8.1640625" style="6" customWidth="1"/>
    <col min="127" max="127" width="7" style="1" customWidth="1"/>
    <col min="128" max="128" width="3.5" style="1" customWidth="1"/>
    <col min="129" max="129" width="6.5" style="1" customWidth="1"/>
    <col min="130" max="130" width="7" style="1" customWidth="1"/>
    <col min="131" max="16384" width="9.33203125" style="1"/>
  </cols>
  <sheetData>
    <row r="1" spans="1:129" ht="22.5">
      <c r="A1" s="198" t="s">
        <v>132</v>
      </c>
      <c r="Y1"/>
      <c r="AF1"/>
      <c r="AK1"/>
      <c r="AW1"/>
      <c r="AX1" s="327"/>
      <c r="AY1" s="324"/>
      <c r="AZ1" s="324"/>
      <c r="BN1"/>
      <c r="BQ1"/>
      <c r="BU1"/>
      <c r="CO1"/>
      <c r="CP1" s="316"/>
      <c r="CQ1"/>
      <c r="CR1" s="355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 s="323"/>
      <c r="DS1"/>
      <c r="DT1"/>
      <c r="DU1"/>
      <c r="DV1" s="10"/>
      <c r="DW1"/>
      <c r="DX1"/>
      <c r="DY1"/>
    </row>
    <row r="2" spans="1:129" s="191" customFormat="1" ht="12" customHeight="1">
      <c r="A2" s="194"/>
      <c r="B2" s="194"/>
      <c r="C2" s="370" t="s">
        <v>0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2"/>
      <c r="Y2" s="190"/>
      <c r="Z2" s="373" t="s">
        <v>151</v>
      </c>
      <c r="AA2" s="375"/>
      <c r="AB2" s="375"/>
      <c r="AC2" s="375"/>
      <c r="AD2" s="375"/>
      <c r="AE2" s="374"/>
      <c r="AF2" s="190"/>
      <c r="AG2" s="373" t="s">
        <v>1</v>
      </c>
      <c r="AH2" s="375"/>
      <c r="AI2" s="375"/>
      <c r="AJ2" s="374"/>
      <c r="AK2" s="190"/>
      <c r="AL2" s="373" t="s">
        <v>150</v>
      </c>
      <c r="AM2" s="375"/>
      <c r="AN2" s="375"/>
      <c r="AO2" s="375"/>
      <c r="AP2" s="375"/>
      <c r="AQ2" s="375"/>
      <c r="AR2" s="375"/>
      <c r="AS2" s="375"/>
      <c r="AT2" s="375"/>
      <c r="AU2" s="375"/>
      <c r="AV2" s="374"/>
      <c r="AW2" s="190"/>
      <c r="AX2" s="373" t="s">
        <v>301</v>
      </c>
      <c r="AY2" s="374"/>
      <c r="AZ2" s="190"/>
      <c r="BA2" s="373" t="s">
        <v>2</v>
      </c>
      <c r="BB2" s="375"/>
      <c r="BC2" s="375"/>
      <c r="BD2" s="375"/>
      <c r="BE2" s="375"/>
      <c r="BF2" s="375"/>
      <c r="BG2" s="375"/>
      <c r="BH2" s="375"/>
      <c r="BI2" s="375"/>
      <c r="BJ2" s="375"/>
      <c r="BK2" s="375"/>
      <c r="BL2" s="375"/>
      <c r="BM2" s="374"/>
      <c r="BN2" s="190"/>
      <c r="BO2" s="373" t="s">
        <v>3</v>
      </c>
      <c r="BP2" s="374"/>
      <c r="BQ2" s="190"/>
      <c r="BR2" s="373" t="s">
        <v>148</v>
      </c>
      <c r="BS2" s="375"/>
      <c r="BT2" s="374"/>
      <c r="BU2" s="190"/>
      <c r="BV2" s="370" t="s">
        <v>276</v>
      </c>
      <c r="BW2" s="371"/>
      <c r="BX2" s="371"/>
      <c r="BY2" s="371"/>
      <c r="BZ2" s="371"/>
      <c r="CA2" s="371"/>
      <c r="CB2" s="371"/>
      <c r="CC2" s="371"/>
      <c r="CD2" s="371"/>
      <c r="CE2" s="371"/>
      <c r="CF2" s="371"/>
      <c r="CG2" s="371"/>
      <c r="CH2" s="371"/>
      <c r="CI2" s="371"/>
      <c r="CJ2" s="371"/>
      <c r="CK2" s="371"/>
      <c r="CL2" s="371"/>
      <c r="CM2" s="371"/>
      <c r="CN2" s="371"/>
      <c r="CO2" s="371"/>
      <c r="CP2" s="371"/>
      <c r="CQ2" s="371"/>
      <c r="CR2" s="371"/>
      <c r="CS2" s="371"/>
      <c r="CT2" s="371"/>
      <c r="CU2" s="371"/>
      <c r="CV2" s="371"/>
      <c r="CW2" s="371"/>
      <c r="CX2" s="371"/>
      <c r="CY2" s="371"/>
      <c r="CZ2" s="371"/>
      <c r="DA2" s="371"/>
      <c r="DB2" s="371"/>
      <c r="DC2" s="371"/>
      <c r="DD2" s="371"/>
      <c r="DE2" s="371"/>
      <c r="DF2" s="371"/>
      <c r="DG2" s="371"/>
      <c r="DH2" s="371"/>
      <c r="DI2" s="371"/>
      <c r="DJ2" s="371"/>
      <c r="DK2" s="371"/>
      <c r="DL2" s="371"/>
      <c r="DM2" s="371"/>
      <c r="DN2" s="371"/>
      <c r="DO2" s="371"/>
      <c r="DP2" s="371"/>
      <c r="DQ2" s="371"/>
      <c r="DR2" s="371"/>
      <c r="DS2" s="371"/>
      <c r="DT2" s="371"/>
      <c r="DU2" s="371"/>
      <c r="DV2" s="372"/>
      <c r="DW2" s="190"/>
      <c r="DX2" s="190"/>
    </row>
    <row r="3" spans="1:129" s="192" customFormat="1" ht="57" thickBot="1">
      <c r="A3" s="204" t="s">
        <v>5</v>
      </c>
      <c r="B3" s="195"/>
      <c r="C3" s="199" t="s">
        <v>263</v>
      </c>
      <c r="D3" s="200" t="s">
        <v>264</v>
      </c>
      <c r="E3" s="200" t="s">
        <v>265</v>
      </c>
      <c r="F3" s="200" t="s">
        <v>266</v>
      </c>
      <c r="G3" s="200" t="s">
        <v>267</v>
      </c>
      <c r="H3" s="200" t="s">
        <v>268</v>
      </c>
      <c r="I3" s="200" t="s">
        <v>272</v>
      </c>
      <c r="J3" s="200" t="s">
        <v>269</v>
      </c>
      <c r="K3" s="200" t="s">
        <v>273</v>
      </c>
      <c r="L3" s="200" t="s">
        <v>271</v>
      </c>
      <c r="M3" s="201" t="s">
        <v>261</v>
      </c>
      <c r="N3" s="201" t="s">
        <v>262</v>
      </c>
      <c r="O3" s="200" t="s">
        <v>270</v>
      </c>
      <c r="P3" s="200" t="s">
        <v>6</v>
      </c>
      <c r="Q3" s="200" t="s">
        <v>7</v>
      </c>
      <c r="R3" s="200" t="s">
        <v>8</v>
      </c>
      <c r="S3" s="217" t="s">
        <v>9</v>
      </c>
      <c r="T3" s="200" t="s">
        <v>10</v>
      </c>
      <c r="U3" s="200" t="s">
        <v>189</v>
      </c>
      <c r="V3" s="200" t="s">
        <v>279</v>
      </c>
      <c r="W3" s="200" t="s">
        <v>11</v>
      </c>
      <c r="X3" s="202" t="s">
        <v>12</v>
      </c>
      <c r="Y3" s="193"/>
      <c r="Z3" s="203" t="s">
        <v>290</v>
      </c>
      <c r="AA3" s="204" t="s">
        <v>146</v>
      </c>
      <c r="AB3" s="204"/>
      <c r="AC3" s="203" t="s">
        <v>171</v>
      </c>
      <c r="AD3" s="204" t="s">
        <v>145</v>
      </c>
      <c r="AE3" s="218" t="s">
        <v>147</v>
      </c>
      <c r="AF3" s="193"/>
      <c r="AG3" s="203" t="s">
        <v>13</v>
      </c>
      <c r="AH3" s="204" t="s">
        <v>14</v>
      </c>
      <c r="AI3" s="204" t="s">
        <v>15</v>
      </c>
      <c r="AJ3" s="205" t="s">
        <v>16</v>
      </c>
      <c r="AK3" s="193"/>
      <c r="AL3" s="203" t="s">
        <v>204</v>
      </c>
      <c r="AM3" s="204" t="s">
        <v>159</v>
      </c>
      <c r="AN3" s="218" t="s">
        <v>17</v>
      </c>
      <c r="AO3" s="204" t="s">
        <v>160</v>
      </c>
      <c r="AP3" s="204" t="s">
        <v>161</v>
      </c>
      <c r="AQ3" s="218" t="s">
        <v>18</v>
      </c>
      <c r="AR3" s="204" t="s">
        <v>149</v>
      </c>
      <c r="AS3" s="204" t="s">
        <v>162</v>
      </c>
      <c r="AT3" s="204" t="s">
        <v>163</v>
      </c>
      <c r="AU3" s="204" t="s">
        <v>164</v>
      </c>
      <c r="AV3" s="205" t="s">
        <v>158</v>
      </c>
      <c r="AW3" s="193"/>
      <c r="AX3" s="328" t="s">
        <v>299</v>
      </c>
      <c r="AY3" s="205" t="s">
        <v>300</v>
      </c>
      <c r="AZ3" s="193"/>
      <c r="BA3" s="203" t="s">
        <v>19</v>
      </c>
      <c r="BB3" s="204" t="s">
        <v>20</v>
      </c>
      <c r="BC3" s="204" t="s">
        <v>21</v>
      </c>
      <c r="BD3" s="204" t="s">
        <v>296</v>
      </c>
      <c r="BE3" s="204" t="s">
        <v>199</v>
      </c>
      <c r="BF3" s="204" t="s">
        <v>22</v>
      </c>
      <c r="BG3" s="204" t="s">
        <v>23</v>
      </c>
      <c r="BH3" s="349" t="s">
        <v>308</v>
      </c>
      <c r="BI3" s="204" t="s">
        <v>24</v>
      </c>
      <c r="BJ3" s="336" t="s">
        <v>288</v>
      </c>
      <c r="BK3" s="336" t="s">
        <v>286</v>
      </c>
      <c r="BL3" s="301" t="s">
        <v>287</v>
      </c>
      <c r="BM3" s="205" t="s">
        <v>25</v>
      </c>
      <c r="BN3" s="193"/>
      <c r="BO3" s="203" t="s">
        <v>26</v>
      </c>
      <c r="BP3" s="205" t="s">
        <v>27</v>
      </c>
      <c r="BQ3" s="193"/>
      <c r="BR3" s="206" t="s">
        <v>28</v>
      </c>
      <c r="BS3" s="204" t="s">
        <v>29</v>
      </c>
      <c r="BT3" s="207" t="s">
        <v>30</v>
      </c>
      <c r="BU3" s="193"/>
      <c r="BV3" s="203" t="s">
        <v>31</v>
      </c>
      <c r="BW3" s="204" t="s">
        <v>190</v>
      </c>
      <c r="BX3" s="204" t="s">
        <v>187</v>
      </c>
      <c r="BY3" s="204" t="s">
        <v>223</v>
      </c>
      <c r="BZ3" s="204" t="s">
        <v>233</v>
      </c>
      <c r="CA3" s="204" t="s">
        <v>230</v>
      </c>
      <c r="CB3" s="204" t="s">
        <v>247</v>
      </c>
      <c r="CC3" s="204" t="s">
        <v>306</v>
      </c>
      <c r="CD3" s="204" t="s">
        <v>32</v>
      </c>
      <c r="CE3" s="204" t="s">
        <v>213</v>
      </c>
      <c r="CF3" s="204" t="s">
        <v>33</v>
      </c>
      <c r="CG3" s="204" t="s">
        <v>34</v>
      </c>
      <c r="CH3" s="204" t="s">
        <v>234</v>
      </c>
      <c r="CI3" s="204" t="s">
        <v>35</v>
      </c>
      <c r="CJ3" s="204" t="s">
        <v>36</v>
      </c>
      <c r="CK3" s="204" t="s">
        <v>298</v>
      </c>
      <c r="CL3" s="204" t="s">
        <v>278</v>
      </c>
      <c r="CM3" s="204" t="s">
        <v>37</v>
      </c>
      <c r="CN3" s="204" t="s">
        <v>226</v>
      </c>
      <c r="CO3" s="204" t="s">
        <v>38</v>
      </c>
      <c r="CP3" s="204" t="s">
        <v>295</v>
      </c>
      <c r="CQ3" s="204" t="s">
        <v>231</v>
      </c>
      <c r="CR3" s="204" t="s">
        <v>307</v>
      </c>
      <c r="CS3" s="204" t="s">
        <v>39</v>
      </c>
      <c r="CT3" s="204" t="s">
        <v>40</v>
      </c>
      <c r="CU3" s="204" t="s">
        <v>41</v>
      </c>
      <c r="CV3" s="204" t="s">
        <v>42</v>
      </c>
      <c r="CW3" s="204" t="s">
        <v>248</v>
      </c>
      <c r="CX3" s="204" t="s">
        <v>252</v>
      </c>
      <c r="CY3" s="204" t="s">
        <v>188</v>
      </c>
      <c r="CZ3" s="204" t="s">
        <v>229</v>
      </c>
      <c r="DA3" s="204" t="s">
        <v>225</v>
      </c>
      <c r="DB3" s="204" t="s">
        <v>43</v>
      </c>
      <c r="DC3" s="204" t="s">
        <v>227</v>
      </c>
      <c r="DD3" s="204" t="s">
        <v>232</v>
      </c>
      <c r="DE3" s="204" t="s">
        <v>224</v>
      </c>
      <c r="DF3" s="204" t="s">
        <v>228</v>
      </c>
      <c r="DG3" s="204" t="s">
        <v>44</v>
      </c>
      <c r="DH3" s="204" t="s">
        <v>45</v>
      </c>
      <c r="DI3" s="204" t="s">
        <v>46</v>
      </c>
      <c r="DJ3" s="204" t="s">
        <v>185</v>
      </c>
      <c r="DK3" s="204" t="s">
        <v>277</v>
      </c>
      <c r="DL3" s="204" t="s">
        <v>236</v>
      </c>
      <c r="DM3" s="204" t="s">
        <v>47</v>
      </c>
      <c r="DN3" s="204" t="s">
        <v>219</v>
      </c>
      <c r="DO3" s="204" t="s">
        <v>48</v>
      </c>
      <c r="DP3" s="204" t="s">
        <v>249</v>
      </c>
      <c r="DQ3" s="204" t="s">
        <v>235</v>
      </c>
      <c r="DR3" s="204" t="s">
        <v>297</v>
      </c>
      <c r="DS3" s="204" t="s">
        <v>186</v>
      </c>
      <c r="DT3" s="204" t="s">
        <v>200</v>
      </c>
      <c r="DU3" s="204" t="s">
        <v>191</v>
      </c>
      <c r="DV3" s="205" t="s">
        <v>49</v>
      </c>
      <c r="DW3" s="204" t="s">
        <v>50</v>
      </c>
      <c r="DX3" s="193"/>
    </row>
    <row r="4" spans="1:129" customFormat="1">
      <c r="A4" s="208">
        <v>31959</v>
      </c>
      <c r="B4" s="209"/>
      <c r="C4" s="36">
        <v>10</v>
      </c>
      <c r="D4" s="9">
        <v>11</v>
      </c>
      <c r="E4" s="9">
        <v>0</v>
      </c>
      <c r="F4" s="9">
        <v>0</v>
      </c>
      <c r="G4" s="9">
        <v>0</v>
      </c>
      <c r="H4" s="9">
        <v>3</v>
      </c>
      <c r="I4" s="9">
        <v>0</v>
      </c>
      <c r="J4" s="9">
        <v>0</v>
      </c>
      <c r="K4" s="9">
        <v>0</v>
      </c>
      <c r="L4" s="9">
        <v>0</v>
      </c>
      <c r="M4" s="92">
        <v>0</v>
      </c>
      <c r="N4" s="92">
        <v>0</v>
      </c>
      <c r="O4" s="9">
        <v>0</v>
      </c>
      <c r="P4" s="9">
        <v>0</v>
      </c>
      <c r="Q4" s="9">
        <v>0</v>
      </c>
      <c r="R4" s="9">
        <v>0</v>
      </c>
      <c r="S4" s="33">
        <f t="shared" ref="S4:S27" si="0">SUM(C4:R4)</f>
        <v>24</v>
      </c>
      <c r="T4" s="9"/>
      <c r="U4" s="9"/>
      <c r="V4" s="9"/>
      <c r="W4" s="9"/>
      <c r="X4" s="37"/>
      <c r="Y4" s="9"/>
      <c r="Z4" s="36"/>
      <c r="AA4" s="9"/>
      <c r="AB4" s="9"/>
      <c r="AC4" s="36"/>
      <c r="AD4" s="9"/>
      <c r="AE4" s="33"/>
      <c r="AF4" s="9"/>
      <c r="AG4" s="36"/>
      <c r="AH4" s="9"/>
      <c r="AI4" s="9">
        <v>138</v>
      </c>
      <c r="AJ4" s="37">
        <v>24</v>
      </c>
      <c r="AK4" s="9"/>
      <c r="AL4" s="36"/>
      <c r="AM4" s="9"/>
      <c r="AN4" s="33"/>
      <c r="AO4" s="9"/>
      <c r="AP4" s="9"/>
      <c r="AQ4" s="33"/>
      <c r="AR4" s="92"/>
      <c r="AS4" s="9"/>
      <c r="AT4" s="9"/>
      <c r="AU4" s="9"/>
      <c r="AV4" s="93"/>
      <c r="AW4" s="9"/>
      <c r="AX4" s="325"/>
      <c r="AY4" s="37"/>
      <c r="AZ4" s="9"/>
      <c r="BA4" s="36">
        <v>1446</v>
      </c>
      <c r="BB4" s="9"/>
      <c r="BC4" s="9"/>
      <c r="BD4" s="9"/>
      <c r="BE4" s="9"/>
      <c r="BF4" s="9"/>
      <c r="BG4" s="9"/>
      <c r="BH4" s="350"/>
      <c r="BI4" s="9"/>
      <c r="BJ4" s="337"/>
      <c r="BK4" s="337"/>
      <c r="BL4" s="302"/>
      <c r="BM4" s="37">
        <f>1007+958+960+688</f>
        <v>3613</v>
      </c>
      <c r="BN4" s="9"/>
      <c r="BO4" s="36"/>
      <c r="BP4" s="37"/>
      <c r="BQ4" s="9"/>
      <c r="BR4" s="74">
        <v>1988</v>
      </c>
      <c r="BS4" s="75">
        <v>1987</v>
      </c>
      <c r="BT4" s="13">
        <v>13</v>
      </c>
      <c r="BU4" s="9"/>
      <c r="BV4" s="36"/>
      <c r="BW4" s="9"/>
      <c r="BX4" s="9"/>
      <c r="BY4" s="9"/>
      <c r="BZ4" s="9"/>
      <c r="CA4" s="9"/>
      <c r="CB4" s="9"/>
      <c r="CC4" s="223"/>
      <c r="CD4" s="9"/>
      <c r="CE4" s="220"/>
      <c r="CF4" s="9"/>
      <c r="CG4" s="9"/>
      <c r="CH4" s="9"/>
      <c r="CI4" s="9"/>
      <c r="CJ4" s="9"/>
      <c r="CK4" s="9"/>
      <c r="CL4" s="9"/>
      <c r="CM4" s="9"/>
      <c r="CN4" s="9"/>
      <c r="CO4" s="9"/>
      <c r="CP4" s="220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44">
        <f t="shared" ref="DV4:DV28" si="1">SUM(BV4:DU4)</f>
        <v>0</v>
      </c>
      <c r="DW4" s="13" t="str">
        <f t="shared" ref="DW4:DW27" si="2">IF(DV4=S4,"","PROB")</f>
        <v>PROB</v>
      </c>
    </row>
    <row r="5" spans="1:129" customFormat="1">
      <c r="A5" s="210">
        <v>31973</v>
      </c>
      <c r="B5" s="211"/>
      <c r="C5" s="8">
        <v>10</v>
      </c>
      <c r="D5" s="10">
        <v>6</v>
      </c>
      <c r="E5" s="10">
        <v>0</v>
      </c>
      <c r="F5" s="10">
        <v>1</v>
      </c>
      <c r="G5" s="10">
        <v>0</v>
      </c>
      <c r="H5" s="10">
        <v>0</v>
      </c>
      <c r="I5" s="10">
        <v>0</v>
      </c>
      <c r="J5" s="10">
        <v>0</v>
      </c>
      <c r="K5" s="59">
        <v>0</v>
      </c>
      <c r="L5" s="10">
        <v>0</v>
      </c>
      <c r="M5" s="59">
        <v>0</v>
      </c>
      <c r="N5" s="59">
        <v>0</v>
      </c>
      <c r="O5" s="10">
        <v>0</v>
      </c>
      <c r="P5" s="10">
        <v>0</v>
      </c>
      <c r="Q5" s="10">
        <v>0</v>
      </c>
      <c r="R5" s="10">
        <v>0</v>
      </c>
      <c r="S5" s="35">
        <f t="shared" si="0"/>
        <v>17</v>
      </c>
      <c r="T5" s="10"/>
      <c r="U5" s="10"/>
      <c r="V5" s="10"/>
      <c r="W5" s="10"/>
      <c r="X5" s="5"/>
      <c r="Y5" s="10"/>
      <c r="Z5" s="8"/>
      <c r="AA5" s="10"/>
      <c r="AB5" s="10"/>
      <c r="AC5" s="8"/>
      <c r="AD5" s="10"/>
      <c r="AE5" s="35"/>
      <c r="AF5" s="10"/>
      <c r="AG5" s="8"/>
      <c r="AH5" s="10"/>
      <c r="AI5" s="10">
        <v>114</v>
      </c>
      <c r="AJ5" s="5">
        <v>16</v>
      </c>
      <c r="AK5" s="10"/>
      <c r="AL5" s="8"/>
      <c r="AM5" s="10"/>
      <c r="AN5" s="35"/>
      <c r="AO5" s="10"/>
      <c r="AP5" s="10"/>
      <c r="AQ5" s="35"/>
      <c r="AR5" s="59"/>
      <c r="AS5" s="10"/>
      <c r="AT5" s="10"/>
      <c r="AU5" s="10"/>
      <c r="AV5" s="62"/>
      <c r="AW5" s="10"/>
      <c r="AX5" s="326"/>
      <c r="AY5" s="5"/>
      <c r="AZ5" s="10"/>
      <c r="BA5" s="8"/>
      <c r="BB5" s="10"/>
      <c r="BC5" s="10"/>
      <c r="BD5" s="10"/>
      <c r="BE5" s="10"/>
      <c r="BF5" s="10"/>
      <c r="BG5" s="10"/>
      <c r="BH5" s="30"/>
      <c r="BI5" s="10"/>
      <c r="BJ5" s="338"/>
      <c r="BK5" s="338"/>
      <c r="BL5" s="303"/>
      <c r="BM5" s="5"/>
      <c r="BN5" s="10"/>
      <c r="BO5" s="8"/>
      <c r="BP5" s="5"/>
      <c r="BQ5" s="10"/>
      <c r="BR5" s="29">
        <v>1988</v>
      </c>
      <c r="BS5" s="64">
        <v>1987</v>
      </c>
      <c r="BT5" s="14">
        <v>14</v>
      </c>
      <c r="BU5" s="10"/>
      <c r="BV5" s="8"/>
      <c r="BW5" s="10"/>
      <c r="BX5" s="10"/>
      <c r="BY5" s="10"/>
      <c r="BZ5" s="10"/>
      <c r="CA5" s="10"/>
      <c r="CB5" s="10"/>
      <c r="CC5" s="221"/>
      <c r="CD5" s="10"/>
      <c r="CE5" s="317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317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38">
        <f t="shared" si="1"/>
        <v>0</v>
      </c>
      <c r="DW5" s="14" t="str">
        <f t="shared" si="2"/>
        <v>PROB</v>
      </c>
    </row>
    <row r="6" spans="1:129" customFormat="1">
      <c r="A6" s="210">
        <v>31990</v>
      </c>
      <c r="B6" s="211"/>
      <c r="C6" s="8">
        <v>3</v>
      </c>
      <c r="D6" s="10">
        <v>9</v>
      </c>
      <c r="E6" s="10">
        <v>0</v>
      </c>
      <c r="F6" s="10">
        <v>3</v>
      </c>
      <c r="G6" s="10">
        <v>0</v>
      </c>
      <c r="H6" s="10">
        <v>6</v>
      </c>
      <c r="I6" s="10">
        <v>0</v>
      </c>
      <c r="J6" s="10">
        <v>0</v>
      </c>
      <c r="K6" s="59">
        <v>0</v>
      </c>
      <c r="L6" s="10">
        <v>0</v>
      </c>
      <c r="M6" s="59">
        <v>0</v>
      </c>
      <c r="N6" s="59">
        <v>0</v>
      </c>
      <c r="O6" s="10">
        <v>0</v>
      </c>
      <c r="P6" s="10">
        <v>0</v>
      </c>
      <c r="Q6" s="10">
        <v>0</v>
      </c>
      <c r="R6" s="10">
        <v>0</v>
      </c>
      <c r="S6" s="35">
        <f t="shared" si="0"/>
        <v>21</v>
      </c>
      <c r="T6" s="10"/>
      <c r="U6" s="10"/>
      <c r="V6" s="10"/>
      <c r="W6" s="10"/>
      <c r="X6" s="5"/>
      <c r="Y6" s="10"/>
      <c r="Z6" s="8"/>
      <c r="AA6" s="10"/>
      <c r="AB6" s="10"/>
      <c r="AC6" s="8"/>
      <c r="AD6" s="10"/>
      <c r="AE6" s="35"/>
      <c r="AF6" s="10"/>
      <c r="AG6" s="8"/>
      <c r="AH6" s="10"/>
      <c r="AI6" s="10">
        <v>148</v>
      </c>
      <c r="AJ6" s="5">
        <v>16</v>
      </c>
      <c r="AK6" s="10"/>
      <c r="AL6" s="8"/>
      <c r="AM6" s="10"/>
      <c r="AN6" s="35"/>
      <c r="AO6" s="10"/>
      <c r="AP6" s="10"/>
      <c r="AQ6" s="35"/>
      <c r="AR6" s="59"/>
      <c r="AS6" s="10"/>
      <c r="AT6" s="10"/>
      <c r="AU6" s="10"/>
      <c r="AV6" s="62"/>
      <c r="AW6" s="10"/>
      <c r="AX6" s="326"/>
      <c r="AY6" s="5"/>
      <c r="AZ6" s="10"/>
      <c r="BA6" s="8"/>
      <c r="BB6" s="10"/>
      <c r="BC6" s="10"/>
      <c r="BD6" s="10"/>
      <c r="BE6" s="10"/>
      <c r="BF6" s="10"/>
      <c r="BG6" s="10"/>
      <c r="BH6" s="30"/>
      <c r="BI6" s="10"/>
      <c r="BJ6" s="338"/>
      <c r="BK6" s="338"/>
      <c r="BL6" s="303"/>
      <c r="BM6" s="5"/>
      <c r="BN6" s="10"/>
      <c r="BO6" s="8"/>
      <c r="BP6" s="5"/>
      <c r="BQ6" s="10"/>
      <c r="BR6" s="29">
        <v>1988</v>
      </c>
      <c r="BS6" s="64">
        <v>1987</v>
      </c>
      <c r="BT6" s="14">
        <v>15</v>
      </c>
      <c r="BU6" s="10"/>
      <c r="BV6" s="8"/>
      <c r="BW6" s="10"/>
      <c r="BX6" s="10"/>
      <c r="BY6" s="10"/>
      <c r="BZ6" s="10"/>
      <c r="CA6" s="10"/>
      <c r="CB6" s="10"/>
      <c r="CC6" s="221"/>
      <c r="CD6" s="10"/>
      <c r="CE6" s="317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317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38">
        <f t="shared" si="1"/>
        <v>0</v>
      </c>
      <c r="DW6" s="14" t="str">
        <f t="shared" si="2"/>
        <v>PROB</v>
      </c>
    </row>
    <row r="7" spans="1:129" customFormat="1">
      <c r="A7" s="210">
        <v>32004</v>
      </c>
      <c r="B7" s="211"/>
      <c r="C7" s="8">
        <v>2</v>
      </c>
      <c r="D7" s="10">
        <v>11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59">
        <v>0</v>
      </c>
      <c r="L7" s="10">
        <v>0</v>
      </c>
      <c r="M7" s="59">
        <v>0</v>
      </c>
      <c r="N7" s="59">
        <v>0</v>
      </c>
      <c r="O7" s="10">
        <v>0</v>
      </c>
      <c r="P7" s="10">
        <v>0</v>
      </c>
      <c r="Q7" s="10">
        <v>0</v>
      </c>
      <c r="R7" s="10">
        <v>0</v>
      </c>
      <c r="S7" s="35">
        <f t="shared" si="0"/>
        <v>13</v>
      </c>
      <c r="T7" s="10"/>
      <c r="U7" s="10"/>
      <c r="V7" s="10"/>
      <c r="W7" s="10"/>
      <c r="X7" s="5"/>
      <c r="Y7" s="10"/>
      <c r="Z7" s="8"/>
      <c r="AA7" s="10"/>
      <c r="AB7" s="10"/>
      <c r="AC7" s="8"/>
      <c r="AD7" s="10"/>
      <c r="AE7" s="35"/>
      <c r="AF7" s="10"/>
      <c r="AG7" s="8"/>
      <c r="AH7" s="10"/>
      <c r="AI7" s="10">
        <v>104</v>
      </c>
      <c r="AJ7" s="5">
        <v>12</v>
      </c>
      <c r="AK7" s="10"/>
      <c r="AL7" s="8"/>
      <c r="AM7" s="10"/>
      <c r="AN7" s="35"/>
      <c r="AO7" s="10"/>
      <c r="AP7" s="10"/>
      <c r="AQ7" s="35"/>
      <c r="AR7" s="59"/>
      <c r="AS7" s="10"/>
      <c r="AT7" s="10"/>
      <c r="AU7" s="10"/>
      <c r="AV7" s="62"/>
      <c r="AW7" s="10"/>
      <c r="AX7" s="326"/>
      <c r="AY7" s="5"/>
      <c r="AZ7" s="10"/>
      <c r="BA7" s="8"/>
      <c r="BB7" s="10"/>
      <c r="BC7" s="10"/>
      <c r="BD7" s="10"/>
      <c r="BE7" s="10"/>
      <c r="BF7" s="10"/>
      <c r="BG7" s="10"/>
      <c r="BH7" s="30"/>
      <c r="BI7" s="10"/>
      <c r="BJ7" s="338"/>
      <c r="BK7" s="338"/>
      <c r="BL7" s="303"/>
      <c r="BM7" s="5"/>
      <c r="BN7" s="10"/>
      <c r="BO7" s="8"/>
      <c r="BP7" s="5"/>
      <c r="BQ7" s="10"/>
      <c r="BR7" s="29">
        <v>1988</v>
      </c>
      <c r="BS7" s="64">
        <v>1987</v>
      </c>
      <c r="BT7" s="14">
        <v>16</v>
      </c>
      <c r="BU7" s="10"/>
      <c r="BV7" s="8"/>
      <c r="BW7" s="10"/>
      <c r="BX7" s="10"/>
      <c r="BY7" s="10"/>
      <c r="BZ7" s="10"/>
      <c r="CA7" s="10"/>
      <c r="CB7" s="10"/>
      <c r="CC7" s="221"/>
      <c r="CD7" s="10"/>
      <c r="CE7" s="317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317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38">
        <f t="shared" si="1"/>
        <v>0</v>
      </c>
      <c r="DW7" s="14" t="str">
        <f t="shared" si="2"/>
        <v>PROB</v>
      </c>
    </row>
    <row r="8" spans="1:129" customFormat="1">
      <c r="A8" s="210">
        <v>32021</v>
      </c>
      <c r="B8" s="211"/>
      <c r="C8" s="8">
        <v>0</v>
      </c>
      <c r="D8" s="10">
        <v>10</v>
      </c>
      <c r="E8" s="10">
        <v>0</v>
      </c>
      <c r="F8" s="10">
        <v>1</v>
      </c>
      <c r="G8" s="10">
        <v>0</v>
      </c>
      <c r="H8" s="10">
        <v>4</v>
      </c>
      <c r="I8" s="10">
        <v>0</v>
      </c>
      <c r="J8" s="10">
        <v>0</v>
      </c>
      <c r="K8" s="59">
        <v>0</v>
      </c>
      <c r="L8" s="10">
        <v>0</v>
      </c>
      <c r="M8" s="59">
        <v>0</v>
      </c>
      <c r="N8" s="59">
        <v>0</v>
      </c>
      <c r="O8" s="10">
        <v>0</v>
      </c>
      <c r="P8" s="10">
        <v>0</v>
      </c>
      <c r="Q8" s="10">
        <v>0</v>
      </c>
      <c r="R8" s="10">
        <v>0</v>
      </c>
      <c r="S8" s="35">
        <f t="shared" si="0"/>
        <v>15</v>
      </c>
      <c r="T8" s="10"/>
      <c r="U8" s="10"/>
      <c r="V8" s="10"/>
      <c r="W8" s="10"/>
      <c r="X8" s="5"/>
      <c r="Y8" s="10"/>
      <c r="Z8" s="8"/>
      <c r="AA8" s="10"/>
      <c r="AB8" s="10"/>
      <c r="AC8" s="8"/>
      <c r="AD8" s="10"/>
      <c r="AE8" s="35"/>
      <c r="AF8" s="10"/>
      <c r="AG8" s="8"/>
      <c r="AH8" s="10"/>
      <c r="AI8" s="10">
        <v>108</v>
      </c>
      <c r="AJ8" s="5">
        <v>16</v>
      </c>
      <c r="AK8" s="10"/>
      <c r="AL8" s="8"/>
      <c r="AM8" s="10"/>
      <c r="AN8" s="35"/>
      <c r="AO8" s="10"/>
      <c r="AP8" s="10"/>
      <c r="AQ8" s="35"/>
      <c r="AR8" s="59"/>
      <c r="AS8" s="10"/>
      <c r="AT8" s="10"/>
      <c r="AU8" s="10"/>
      <c r="AV8" s="62"/>
      <c r="AW8" s="10"/>
      <c r="AX8" s="326"/>
      <c r="AY8" s="5"/>
      <c r="AZ8" s="10"/>
      <c r="BA8" s="8"/>
      <c r="BB8" s="10"/>
      <c r="BC8" s="10"/>
      <c r="BD8" s="10"/>
      <c r="BE8" s="10"/>
      <c r="BF8" s="10"/>
      <c r="BG8" s="10"/>
      <c r="BH8" s="30"/>
      <c r="BI8" s="10"/>
      <c r="BJ8" s="338"/>
      <c r="BK8" s="338"/>
      <c r="BL8" s="303"/>
      <c r="BM8" s="5"/>
      <c r="BN8" s="10"/>
      <c r="BO8" s="8"/>
      <c r="BP8" s="5"/>
      <c r="BQ8" s="10"/>
      <c r="BR8" s="29">
        <v>1988</v>
      </c>
      <c r="BS8" s="64">
        <v>1987</v>
      </c>
      <c r="BT8" s="14">
        <v>17</v>
      </c>
      <c r="BU8" s="10"/>
      <c r="BV8" s="8"/>
      <c r="BW8" s="10"/>
      <c r="BX8" s="10"/>
      <c r="BY8" s="10"/>
      <c r="BZ8" s="10"/>
      <c r="CA8" s="10"/>
      <c r="CB8" s="10"/>
      <c r="CC8" s="221"/>
      <c r="CD8" s="10"/>
      <c r="CE8" s="317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317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38">
        <f t="shared" si="1"/>
        <v>0</v>
      </c>
      <c r="DW8" s="14" t="str">
        <f t="shared" si="2"/>
        <v>PROB</v>
      </c>
    </row>
    <row r="9" spans="1:129" customFormat="1">
      <c r="A9" s="210">
        <v>32035</v>
      </c>
      <c r="B9" s="211"/>
      <c r="C9" s="8">
        <v>3</v>
      </c>
      <c r="D9" s="10">
        <v>5</v>
      </c>
      <c r="E9" s="10">
        <v>2</v>
      </c>
      <c r="F9" s="10">
        <v>1</v>
      </c>
      <c r="G9" s="10">
        <v>1</v>
      </c>
      <c r="H9" s="10">
        <v>5</v>
      </c>
      <c r="I9" s="10">
        <v>0</v>
      </c>
      <c r="J9" s="10">
        <v>0</v>
      </c>
      <c r="K9" s="59">
        <v>0</v>
      </c>
      <c r="L9" s="10">
        <v>0</v>
      </c>
      <c r="M9" s="59">
        <v>0</v>
      </c>
      <c r="N9" s="59">
        <v>0</v>
      </c>
      <c r="O9" s="10">
        <v>1</v>
      </c>
      <c r="P9" s="10">
        <v>0</v>
      </c>
      <c r="Q9" s="10">
        <v>0</v>
      </c>
      <c r="R9" s="10">
        <v>0</v>
      </c>
      <c r="S9" s="35">
        <f t="shared" si="0"/>
        <v>18</v>
      </c>
      <c r="T9" s="10"/>
      <c r="U9" s="10"/>
      <c r="V9" s="10"/>
      <c r="W9" s="10"/>
      <c r="X9" s="5"/>
      <c r="Y9" s="10"/>
      <c r="Z9" s="8"/>
      <c r="AA9" s="10"/>
      <c r="AB9" s="10"/>
      <c r="AC9" s="8"/>
      <c r="AD9" s="10"/>
      <c r="AE9" s="35"/>
      <c r="AF9" s="10"/>
      <c r="AG9" s="8"/>
      <c r="AH9" s="10"/>
      <c r="AI9" s="10">
        <v>126</v>
      </c>
      <c r="AJ9" s="5">
        <v>12</v>
      </c>
      <c r="AK9" s="10"/>
      <c r="AL9" s="8"/>
      <c r="AM9" s="10"/>
      <c r="AN9" s="35"/>
      <c r="AO9" s="10"/>
      <c r="AP9" s="10"/>
      <c r="AQ9" s="35"/>
      <c r="AR9" s="59"/>
      <c r="AS9" s="10"/>
      <c r="AT9" s="10"/>
      <c r="AU9" s="10"/>
      <c r="AV9" s="62"/>
      <c r="AW9" s="10"/>
      <c r="AX9" s="326"/>
      <c r="AY9" s="5"/>
      <c r="AZ9" s="10"/>
      <c r="BA9" s="8"/>
      <c r="BB9" s="10"/>
      <c r="BC9" s="10"/>
      <c r="BD9" s="10"/>
      <c r="BE9" s="10"/>
      <c r="BF9" s="10"/>
      <c r="BG9" s="10"/>
      <c r="BH9" s="30"/>
      <c r="BI9" s="10"/>
      <c r="BJ9" s="338"/>
      <c r="BK9" s="338"/>
      <c r="BL9" s="303"/>
      <c r="BM9" s="5"/>
      <c r="BN9" s="10"/>
      <c r="BO9" s="8"/>
      <c r="BP9" s="5"/>
      <c r="BQ9" s="10"/>
      <c r="BR9" s="29">
        <v>1988</v>
      </c>
      <c r="BS9" s="64">
        <v>1987</v>
      </c>
      <c r="BT9" s="14">
        <v>18</v>
      </c>
      <c r="BU9" s="10"/>
      <c r="BV9" s="8"/>
      <c r="BW9" s="10"/>
      <c r="BX9" s="10"/>
      <c r="BY9" s="10"/>
      <c r="BZ9" s="10"/>
      <c r="CA9" s="10"/>
      <c r="CB9" s="10"/>
      <c r="CC9" s="221"/>
      <c r="CD9" s="10"/>
      <c r="CE9" s="317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317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38">
        <f t="shared" si="1"/>
        <v>0</v>
      </c>
      <c r="DW9" s="14" t="str">
        <f t="shared" si="2"/>
        <v>PROB</v>
      </c>
    </row>
    <row r="10" spans="1:129" customFormat="1">
      <c r="A10" s="210">
        <v>32051</v>
      </c>
      <c r="B10" s="211"/>
      <c r="C10" s="8">
        <v>8</v>
      </c>
      <c r="D10" s="10">
        <v>8</v>
      </c>
      <c r="E10" s="10">
        <v>1</v>
      </c>
      <c r="F10" s="10">
        <v>1</v>
      </c>
      <c r="G10" s="10">
        <v>0</v>
      </c>
      <c r="H10" s="10">
        <v>12</v>
      </c>
      <c r="I10" s="10">
        <v>0</v>
      </c>
      <c r="J10" s="10">
        <v>0</v>
      </c>
      <c r="K10" s="59">
        <v>0</v>
      </c>
      <c r="L10" s="10">
        <v>0</v>
      </c>
      <c r="M10" s="59">
        <v>0</v>
      </c>
      <c r="N10" s="59">
        <v>0</v>
      </c>
      <c r="O10" s="10">
        <v>1</v>
      </c>
      <c r="P10" s="10">
        <v>0</v>
      </c>
      <c r="Q10" s="10">
        <v>0</v>
      </c>
      <c r="R10" s="10">
        <v>0</v>
      </c>
      <c r="S10" s="35">
        <f t="shared" si="0"/>
        <v>31</v>
      </c>
      <c r="T10" s="10"/>
      <c r="U10" s="10"/>
      <c r="V10" s="10"/>
      <c r="W10" s="10"/>
      <c r="X10" s="5"/>
      <c r="Y10" s="10"/>
      <c r="Z10" s="8"/>
      <c r="AA10" s="10"/>
      <c r="AB10" s="10"/>
      <c r="AC10" s="8"/>
      <c r="AD10" s="10"/>
      <c r="AE10" s="35"/>
      <c r="AF10" s="10"/>
      <c r="AG10" s="8"/>
      <c r="AH10" s="10"/>
      <c r="AI10" s="10">
        <v>132</v>
      </c>
      <c r="AJ10" s="5">
        <v>12</v>
      </c>
      <c r="AK10" s="10"/>
      <c r="AL10" s="8"/>
      <c r="AM10" s="10"/>
      <c r="AN10" s="35"/>
      <c r="AO10" s="10"/>
      <c r="AP10" s="10"/>
      <c r="AQ10" s="35"/>
      <c r="AR10" s="59"/>
      <c r="AS10" s="10"/>
      <c r="AT10" s="10"/>
      <c r="AU10" s="10"/>
      <c r="AV10" s="62"/>
      <c r="AW10" s="10"/>
      <c r="AX10" s="326"/>
      <c r="AY10" s="5"/>
      <c r="AZ10" s="10"/>
      <c r="BA10" s="8"/>
      <c r="BB10" s="10"/>
      <c r="BC10" s="10"/>
      <c r="BD10" s="10"/>
      <c r="BE10" s="10"/>
      <c r="BF10" s="10"/>
      <c r="BG10" s="10"/>
      <c r="BH10" s="30"/>
      <c r="BI10" s="10"/>
      <c r="BJ10" s="338"/>
      <c r="BK10" s="338"/>
      <c r="BL10" s="303"/>
      <c r="BM10" s="5"/>
      <c r="BN10" s="10"/>
      <c r="BO10" s="8"/>
      <c r="BP10" s="5"/>
      <c r="BQ10" s="10"/>
      <c r="BR10" s="29">
        <v>1988</v>
      </c>
      <c r="BS10" s="64">
        <v>1987</v>
      </c>
      <c r="BT10" s="14">
        <v>19</v>
      </c>
      <c r="BU10" s="10"/>
      <c r="BV10" s="8"/>
      <c r="BW10" s="10"/>
      <c r="BX10" s="10"/>
      <c r="BY10" s="10"/>
      <c r="BZ10" s="10"/>
      <c r="CA10" s="10"/>
      <c r="CB10" s="10"/>
      <c r="CC10" s="221"/>
      <c r="CD10" s="10"/>
      <c r="CE10" s="317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317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38">
        <f t="shared" si="1"/>
        <v>0</v>
      </c>
      <c r="DW10" s="14" t="str">
        <f t="shared" si="2"/>
        <v>PROB</v>
      </c>
    </row>
    <row r="11" spans="1:129" customFormat="1">
      <c r="A11" s="210">
        <v>32065</v>
      </c>
      <c r="B11" s="211"/>
      <c r="C11" s="8">
        <v>7</v>
      </c>
      <c r="D11" s="10">
        <v>10</v>
      </c>
      <c r="E11" s="10">
        <v>1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59">
        <v>0</v>
      </c>
      <c r="L11" s="10">
        <v>0</v>
      </c>
      <c r="M11" s="59">
        <v>0</v>
      </c>
      <c r="N11" s="59">
        <v>0</v>
      </c>
      <c r="O11" s="10">
        <v>1</v>
      </c>
      <c r="P11" s="10">
        <v>0</v>
      </c>
      <c r="Q11" s="10">
        <v>0</v>
      </c>
      <c r="R11" s="10">
        <v>0</v>
      </c>
      <c r="S11" s="35">
        <f t="shared" si="0"/>
        <v>21</v>
      </c>
      <c r="T11" s="10"/>
      <c r="U11" s="10"/>
      <c r="V11" s="10"/>
      <c r="W11" s="10"/>
      <c r="X11" s="5"/>
      <c r="Y11" s="10"/>
      <c r="Z11" s="8"/>
      <c r="AA11" s="10"/>
      <c r="AB11" s="10"/>
      <c r="AC11" s="8"/>
      <c r="AD11" s="10"/>
      <c r="AE11" s="35"/>
      <c r="AF11" s="10"/>
      <c r="AG11" s="8"/>
      <c r="AH11" s="10"/>
      <c r="AI11" s="10">
        <v>132</v>
      </c>
      <c r="AJ11" s="5">
        <v>20</v>
      </c>
      <c r="AK11" s="10"/>
      <c r="AL11" s="8"/>
      <c r="AM11" s="10"/>
      <c r="AN11" s="35"/>
      <c r="AO11" s="10"/>
      <c r="AP11" s="10"/>
      <c r="AQ11" s="35"/>
      <c r="AR11" s="59"/>
      <c r="AS11" s="10"/>
      <c r="AT11" s="10"/>
      <c r="AU11" s="10"/>
      <c r="AV11" s="62"/>
      <c r="AW11" s="10"/>
      <c r="AX11" s="326"/>
      <c r="AY11" s="5"/>
      <c r="AZ11" s="10"/>
      <c r="BA11" s="8"/>
      <c r="BB11" s="10"/>
      <c r="BC11" s="10"/>
      <c r="BD11" s="10"/>
      <c r="BE11" s="10"/>
      <c r="BF11" s="10"/>
      <c r="BG11" s="10"/>
      <c r="BH11" s="30"/>
      <c r="BI11" s="10"/>
      <c r="BJ11" s="338"/>
      <c r="BK11" s="338"/>
      <c r="BL11" s="303"/>
      <c r="BM11" s="5"/>
      <c r="BN11" s="10"/>
      <c r="BO11" s="8"/>
      <c r="BP11" s="5"/>
      <c r="BQ11" s="10"/>
      <c r="BR11" s="29">
        <v>1988</v>
      </c>
      <c r="BS11" s="64">
        <v>1987</v>
      </c>
      <c r="BT11" s="14">
        <v>20</v>
      </c>
      <c r="BU11" s="10"/>
      <c r="BV11" s="8"/>
      <c r="BW11" s="10"/>
      <c r="BX11" s="10"/>
      <c r="BY11" s="10"/>
      <c r="BZ11" s="10"/>
      <c r="CA11" s="10"/>
      <c r="CB11" s="10"/>
      <c r="CC11" s="221"/>
      <c r="CD11" s="10"/>
      <c r="CE11" s="317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317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38">
        <f t="shared" si="1"/>
        <v>0</v>
      </c>
      <c r="DW11" s="14" t="str">
        <f t="shared" si="2"/>
        <v>PROB</v>
      </c>
    </row>
    <row r="12" spans="1:129" customFormat="1">
      <c r="A12" s="210">
        <v>32082</v>
      </c>
      <c r="B12" s="211"/>
      <c r="C12" s="8">
        <v>5</v>
      </c>
      <c r="D12" s="10">
        <v>7</v>
      </c>
      <c r="E12" s="10">
        <v>0</v>
      </c>
      <c r="F12" s="10">
        <v>0</v>
      </c>
      <c r="G12" s="10">
        <v>0</v>
      </c>
      <c r="H12" s="10">
        <v>1</v>
      </c>
      <c r="I12" s="10">
        <v>0</v>
      </c>
      <c r="J12" s="10">
        <v>0</v>
      </c>
      <c r="K12" s="59">
        <v>0</v>
      </c>
      <c r="L12" s="10">
        <v>0</v>
      </c>
      <c r="M12" s="59">
        <v>0</v>
      </c>
      <c r="N12" s="59">
        <v>0</v>
      </c>
      <c r="O12" s="10">
        <v>3</v>
      </c>
      <c r="P12" s="10">
        <v>0</v>
      </c>
      <c r="Q12" s="10">
        <v>0</v>
      </c>
      <c r="R12" s="10">
        <v>0</v>
      </c>
      <c r="S12" s="35">
        <f t="shared" si="0"/>
        <v>16</v>
      </c>
      <c r="T12" s="10"/>
      <c r="U12" s="10"/>
      <c r="V12" s="10"/>
      <c r="W12" s="10"/>
      <c r="X12" s="5"/>
      <c r="Y12" s="10"/>
      <c r="Z12" s="8"/>
      <c r="AA12" s="10"/>
      <c r="AB12" s="10"/>
      <c r="AC12" s="8"/>
      <c r="AD12" s="10"/>
      <c r="AE12" s="35"/>
      <c r="AF12" s="10"/>
      <c r="AG12" s="8"/>
      <c r="AH12" s="10"/>
      <c r="AI12" s="10">
        <v>126</v>
      </c>
      <c r="AJ12" s="5">
        <v>12</v>
      </c>
      <c r="AK12" s="10"/>
      <c r="AL12" s="8"/>
      <c r="AM12" s="10"/>
      <c r="AN12" s="35"/>
      <c r="AO12" s="10"/>
      <c r="AP12" s="10"/>
      <c r="AQ12" s="35"/>
      <c r="AR12" s="59"/>
      <c r="AS12" s="10"/>
      <c r="AT12" s="10"/>
      <c r="AU12" s="10"/>
      <c r="AV12" s="62"/>
      <c r="AW12" s="10"/>
      <c r="AX12" s="326"/>
      <c r="AY12" s="5"/>
      <c r="AZ12" s="10"/>
      <c r="BA12" s="8"/>
      <c r="BB12" s="10"/>
      <c r="BC12" s="10"/>
      <c r="BD12" s="10"/>
      <c r="BE12" s="10"/>
      <c r="BF12" s="10"/>
      <c r="BG12" s="10"/>
      <c r="BH12" s="30"/>
      <c r="BI12" s="10"/>
      <c r="BJ12" s="338"/>
      <c r="BK12" s="338"/>
      <c r="BL12" s="303"/>
      <c r="BM12" s="5"/>
      <c r="BN12" s="10"/>
      <c r="BO12" s="8"/>
      <c r="BP12" s="5"/>
      <c r="BQ12" s="10"/>
      <c r="BR12" s="29">
        <v>1988</v>
      </c>
      <c r="BS12" s="64">
        <v>1987</v>
      </c>
      <c r="BT12" s="14">
        <v>21</v>
      </c>
      <c r="BU12" s="10"/>
      <c r="BV12" s="8"/>
      <c r="BW12" s="10"/>
      <c r="BX12" s="10"/>
      <c r="BY12" s="10"/>
      <c r="BZ12" s="10"/>
      <c r="CA12" s="10"/>
      <c r="CB12" s="10"/>
      <c r="CC12" s="221"/>
      <c r="CD12" s="10"/>
      <c r="CE12" s="317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317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38">
        <f t="shared" si="1"/>
        <v>0</v>
      </c>
      <c r="DW12" s="14" t="str">
        <f t="shared" si="2"/>
        <v>PROB</v>
      </c>
    </row>
    <row r="13" spans="1:129" customFormat="1">
      <c r="A13" s="210">
        <v>32096</v>
      </c>
      <c r="B13" s="211"/>
      <c r="C13" s="8">
        <v>7</v>
      </c>
      <c r="D13" s="10">
        <v>16</v>
      </c>
      <c r="E13" s="10">
        <v>1</v>
      </c>
      <c r="F13" s="10">
        <v>0</v>
      </c>
      <c r="G13" s="10">
        <v>0</v>
      </c>
      <c r="H13" s="10">
        <v>4</v>
      </c>
      <c r="I13" s="10">
        <v>0</v>
      </c>
      <c r="J13" s="10">
        <v>0</v>
      </c>
      <c r="K13" s="59">
        <v>0</v>
      </c>
      <c r="L13" s="10">
        <v>0</v>
      </c>
      <c r="M13" s="59">
        <v>0</v>
      </c>
      <c r="N13" s="59">
        <v>0</v>
      </c>
      <c r="O13" s="10">
        <v>7</v>
      </c>
      <c r="P13" s="10">
        <v>0</v>
      </c>
      <c r="Q13" s="10">
        <v>0</v>
      </c>
      <c r="R13" s="10">
        <v>0</v>
      </c>
      <c r="S13" s="35">
        <f t="shared" si="0"/>
        <v>35</v>
      </c>
      <c r="T13" s="10"/>
      <c r="U13" s="10"/>
      <c r="V13" s="10"/>
      <c r="W13" s="10"/>
      <c r="X13" s="5"/>
      <c r="Y13" s="10"/>
      <c r="Z13" s="8"/>
      <c r="AA13" s="10"/>
      <c r="AB13" s="10"/>
      <c r="AC13" s="8"/>
      <c r="AD13" s="10"/>
      <c r="AE13" s="35"/>
      <c r="AF13" s="10"/>
      <c r="AG13" s="8"/>
      <c r="AH13" s="10"/>
      <c r="AI13" s="10">
        <v>132</v>
      </c>
      <c r="AJ13" s="5">
        <v>16</v>
      </c>
      <c r="AK13" s="10"/>
      <c r="AL13" s="8"/>
      <c r="AM13" s="10"/>
      <c r="AN13" s="35"/>
      <c r="AO13" s="10"/>
      <c r="AP13" s="10"/>
      <c r="AQ13" s="35"/>
      <c r="AR13" s="59"/>
      <c r="AS13" s="10"/>
      <c r="AT13" s="10"/>
      <c r="AU13" s="10"/>
      <c r="AV13" s="62"/>
      <c r="AW13" s="10"/>
      <c r="AX13" s="326"/>
      <c r="AY13" s="5"/>
      <c r="AZ13" s="10"/>
      <c r="BA13" s="8"/>
      <c r="BB13" s="10"/>
      <c r="BC13" s="10"/>
      <c r="BD13" s="10"/>
      <c r="BE13" s="10"/>
      <c r="BF13" s="10"/>
      <c r="BG13" s="10"/>
      <c r="BH13" s="30"/>
      <c r="BI13" s="10"/>
      <c r="BJ13" s="338"/>
      <c r="BK13" s="338"/>
      <c r="BL13" s="303"/>
      <c r="BM13" s="5"/>
      <c r="BN13" s="10"/>
      <c r="BO13" s="8"/>
      <c r="BP13" s="5"/>
      <c r="BQ13" s="10"/>
      <c r="BR13" s="29">
        <v>1988</v>
      </c>
      <c r="BS13" s="64">
        <v>1987</v>
      </c>
      <c r="BT13" s="14">
        <v>22</v>
      </c>
      <c r="BU13" s="10"/>
      <c r="BV13" s="8"/>
      <c r="BW13" s="10"/>
      <c r="BX13" s="10"/>
      <c r="BY13" s="10"/>
      <c r="BZ13" s="10"/>
      <c r="CA13" s="10"/>
      <c r="CB13" s="10"/>
      <c r="CC13" s="221"/>
      <c r="CD13" s="10"/>
      <c r="CE13" s="317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317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38">
        <f t="shared" si="1"/>
        <v>0</v>
      </c>
      <c r="DW13" s="14" t="str">
        <f t="shared" si="2"/>
        <v>PROB</v>
      </c>
    </row>
    <row r="14" spans="1:129" customFormat="1">
      <c r="A14" s="210">
        <v>32112</v>
      </c>
      <c r="B14" s="211"/>
      <c r="C14" s="8">
        <v>47</v>
      </c>
      <c r="D14" s="10">
        <v>48</v>
      </c>
      <c r="E14" s="10">
        <v>1</v>
      </c>
      <c r="F14" s="10">
        <v>10</v>
      </c>
      <c r="G14" s="10">
        <v>4</v>
      </c>
      <c r="H14" s="10">
        <v>3</v>
      </c>
      <c r="I14" s="10">
        <v>0</v>
      </c>
      <c r="J14" s="10">
        <v>0</v>
      </c>
      <c r="K14" s="59">
        <v>0</v>
      </c>
      <c r="L14" s="10">
        <v>0</v>
      </c>
      <c r="M14" s="59">
        <v>0</v>
      </c>
      <c r="N14" s="59">
        <v>0</v>
      </c>
      <c r="O14" s="10">
        <v>2</v>
      </c>
      <c r="P14" s="10">
        <v>0</v>
      </c>
      <c r="Q14" s="10">
        <v>0</v>
      </c>
      <c r="R14" s="10">
        <v>0</v>
      </c>
      <c r="S14" s="35">
        <f t="shared" si="0"/>
        <v>115</v>
      </c>
      <c r="T14" s="10"/>
      <c r="U14" s="10"/>
      <c r="V14" s="10"/>
      <c r="W14" s="10"/>
      <c r="X14" s="5"/>
      <c r="Y14" s="10"/>
      <c r="Z14" s="8"/>
      <c r="AA14" s="10"/>
      <c r="AB14" s="10"/>
      <c r="AC14" s="8"/>
      <c r="AD14" s="10"/>
      <c r="AE14" s="35"/>
      <c r="AF14" s="10"/>
      <c r="AG14" s="8"/>
      <c r="AH14" s="10"/>
      <c r="AI14" s="10">
        <v>228</v>
      </c>
      <c r="AJ14" s="5">
        <v>28</v>
      </c>
      <c r="AK14" s="10"/>
      <c r="AL14" s="8"/>
      <c r="AM14" s="10"/>
      <c r="AN14" s="35"/>
      <c r="AO14" s="10"/>
      <c r="AP14" s="10"/>
      <c r="AQ14" s="35"/>
      <c r="AR14" s="59"/>
      <c r="AS14" s="10"/>
      <c r="AT14" s="10"/>
      <c r="AU14" s="10"/>
      <c r="AV14" s="62"/>
      <c r="AW14" s="10"/>
      <c r="AX14" s="326"/>
      <c r="AY14" s="5"/>
      <c r="AZ14" s="10"/>
      <c r="BA14" s="8"/>
      <c r="BB14" s="10"/>
      <c r="BC14" s="10"/>
      <c r="BD14" s="10"/>
      <c r="BE14" s="10"/>
      <c r="BF14" s="10"/>
      <c r="BG14" s="10"/>
      <c r="BH14" s="30"/>
      <c r="BI14" s="10"/>
      <c r="BJ14" s="338"/>
      <c r="BK14" s="338"/>
      <c r="BL14" s="303"/>
      <c r="BM14" s="5"/>
      <c r="BN14" s="10"/>
      <c r="BO14" s="8"/>
      <c r="BP14" s="5"/>
      <c r="BQ14" s="10"/>
      <c r="BR14" s="29">
        <v>1988</v>
      </c>
      <c r="BS14" s="64">
        <v>1987</v>
      </c>
      <c r="BT14" s="14">
        <v>23</v>
      </c>
      <c r="BU14" s="10"/>
      <c r="BV14" s="8"/>
      <c r="BW14" s="10"/>
      <c r="BX14" s="10"/>
      <c r="BY14" s="10"/>
      <c r="BZ14" s="10"/>
      <c r="CA14" s="10"/>
      <c r="CB14" s="10"/>
      <c r="CC14" s="221"/>
      <c r="CD14" s="10"/>
      <c r="CE14" s="317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317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38">
        <f t="shared" si="1"/>
        <v>0</v>
      </c>
      <c r="DW14" s="14" t="str">
        <f t="shared" si="2"/>
        <v>PROB</v>
      </c>
    </row>
    <row r="15" spans="1:129" customFormat="1">
      <c r="A15" s="210">
        <v>32126</v>
      </c>
      <c r="B15" s="211"/>
      <c r="C15" s="8">
        <v>8</v>
      </c>
      <c r="D15" s="10">
        <v>8</v>
      </c>
      <c r="E15" s="10">
        <v>1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59">
        <v>0</v>
      </c>
      <c r="L15" s="10">
        <v>0</v>
      </c>
      <c r="M15" s="59">
        <v>0</v>
      </c>
      <c r="N15" s="59">
        <v>0</v>
      </c>
      <c r="O15" s="10">
        <v>2</v>
      </c>
      <c r="P15" s="10">
        <v>0</v>
      </c>
      <c r="Q15" s="10">
        <v>0</v>
      </c>
      <c r="R15" s="10">
        <v>0</v>
      </c>
      <c r="S15" s="35">
        <f t="shared" si="0"/>
        <v>20</v>
      </c>
      <c r="T15" s="10"/>
      <c r="U15" s="10"/>
      <c r="V15" s="10"/>
      <c r="W15" s="10"/>
      <c r="X15" s="5"/>
      <c r="Y15" s="10"/>
      <c r="Z15" s="8"/>
      <c r="AA15" s="10"/>
      <c r="AB15" s="10"/>
      <c r="AC15" s="8"/>
      <c r="AD15" s="10"/>
      <c r="AE15" s="35"/>
      <c r="AF15" s="10"/>
      <c r="AG15" s="8"/>
      <c r="AH15" s="10"/>
      <c r="AI15" s="10">
        <v>164</v>
      </c>
      <c r="AJ15" s="5">
        <v>12</v>
      </c>
      <c r="AK15" s="10"/>
      <c r="AL15" s="8"/>
      <c r="AM15" s="10"/>
      <c r="AN15" s="35"/>
      <c r="AO15" s="10"/>
      <c r="AP15" s="10"/>
      <c r="AQ15" s="35"/>
      <c r="AR15" s="59"/>
      <c r="AS15" s="10"/>
      <c r="AT15" s="10"/>
      <c r="AU15" s="10"/>
      <c r="AV15" s="62"/>
      <c r="AW15" s="10"/>
      <c r="AX15" s="326"/>
      <c r="AY15" s="5"/>
      <c r="AZ15" s="10"/>
      <c r="BA15" s="8"/>
      <c r="BB15" s="10"/>
      <c r="BC15" s="10"/>
      <c r="BD15" s="10"/>
      <c r="BE15" s="10"/>
      <c r="BF15" s="10"/>
      <c r="BG15" s="10"/>
      <c r="BH15" s="30"/>
      <c r="BI15" s="10"/>
      <c r="BJ15" s="338"/>
      <c r="BK15" s="338"/>
      <c r="BL15" s="303"/>
      <c r="BM15" s="5"/>
      <c r="BN15" s="10"/>
      <c r="BO15" s="8"/>
      <c r="BP15" s="5"/>
      <c r="BQ15" s="10"/>
      <c r="BR15" s="29">
        <v>1988</v>
      </c>
      <c r="BS15" s="64">
        <v>1987</v>
      </c>
      <c r="BT15" s="14">
        <v>24</v>
      </c>
      <c r="BU15" s="10"/>
      <c r="BV15" s="8"/>
      <c r="BW15" s="10"/>
      <c r="BX15" s="10"/>
      <c r="BY15" s="10"/>
      <c r="BZ15" s="10"/>
      <c r="CA15" s="10"/>
      <c r="CB15" s="10"/>
      <c r="CC15" s="221"/>
      <c r="CD15" s="10"/>
      <c r="CE15" s="317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317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38">
        <f t="shared" si="1"/>
        <v>0</v>
      </c>
      <c r="DW15" s="14" t="str">
        <f t="shared" si="2"/>
        <v>PROB</v>
      </c>
    </row>
    <row r="16" spans="1:129" customFormat="1">
      <c r="A16" s="210">
        <v>32143</v>
      </c>
      <c r="B16" s="211"/>
      <c r="C16" s="8">
        <v>5</v>
      </c>
      <c r="D16" s="10">
        <v>5</v>
      </c>
      <c r="E16" s="10">
        <v>0</v>
      </c>
      <c r="F16" s="10">
        <v>0</v>
      </c>
      <c r="G16" s="10">
        <v>2</v>
      </c>
      <c r="H16" s="10">
        <v>0</v>
      </c>
      <c r="I16" s="10">
        <v>0</v>
      </c>
      <c r="J16" s="10">
        <v>0</v>
      </c>
      <c r="K16" s="59">
        <v>0</v>
      </c>
      <c r="L16" s="10">
        <v>0</v>
      </c>
      <c r="M16" s="59">
        <v>0</v>
      </c>
      <c r="N16" s="59">
        <v>0</v>
      </c>
      <c r="O16" s="10">
        <v>1</v>
      </c>
      <c r="P16" s="10">
        <v>0</v>
      </c>
      <c r="Q16" s="10">
        <v>0</v>
      </c>
      <c r="R16" s="10">
        <v>0</v>
      </c>
      <c r="S16" s="35">
        <f t="shared" si="0"/>
        <v>13</v>
      </c>
      <c r="T16" s="10"/>
      <c r="U16" s="10"/>
      <c r="V16" s="10"/>
      <c r="W16" s="10"/>
      <c r="X16" s="5"/>
      <c r="Y16" s="10"/>
      <c r="Z16" s="8"/>
      <c r="AA16" s="10"/>
      <c r="AB16" s="10"/>
      <c r="AC16" s="8"/>
      <c r="AD16" s="10"/>
      <c r="AE16" s="35"/>
      <c r="AF16" s="10"/>
      <c r="AG16" s="8">
        <v>30</v>
      </c>
      <c r="AH16" s="10">
        <v>10</v>
      </c>
      <c r="AI16" s="10">
        <v>130</v>
      </c>
      <c r="AJ16" s="5">
        <v>16</v>
      </c>
      <c r="AK16" s="10"/>
      <c r="AL16" s="8"/>
      <c r="AM16" s="10"/>
      <c r="AN16" s="35"/>
      <c r="AO16" s="10"/>
      <c r="AP16" s="10"/>
      <c r="AQ16" s="35"/>
      <c r="AR16" s="59"/>
      <c r="AS16" s="10"/>
      <c r="AT16" s="10"/>
      <c r="AU16" s="10"/>
      <c r="AV16" s="62"/>
      <c r="AW16" s="10"/>
      <c r="AX16" s="326"/>
      <c r="AY16" s="5"/>
      <c r="AZ16" s="10"/>
      <c r="BA16" s="8"/>
      <c r="BB16" s="10"/>
      <c r="BC16" s="10"/>
      <c r="BD16" s="10"/>
      <c r="BE16" s="10"/>
      <c r="BF16" s="10"/>
      <c r="BG16" s="10"/>
      <c r="BH16" s="30"/>
      <c r="BI16" s="10"/>
      <c r="BJ16" s="338"/>
      <c r="BK16" s="338"/>
      <c r="BL16" s="303"/>
      <c r="BM16" s="5"/>
      <c r="BN16" s="10"/>
      <c r="BO16" s="8"/>
      <c r="BP16" s="5"/>
      <c r="BQ16" s="10"/>
      <c r="BR16" s="29">
        <v>1988</v>
      </c>
      <c r="BS16" s="64">
        <v>1988</v>
      </c>
      <c r="BT16" s="14">
        <v>1</v>
      </c>
      <c r="BU16" s="10"/>
      <c r="BV16" s="8"/>
      <c r="BW16" s="10"/>
      <c r="BX16" s="10"/>
      <c r="BY16" s="10"/>
      <c r="BZ16" s="10"/>
      <c r="CA16" s="10"/>
      <c r="CB16" s="10"/>
      <c r="CC16" s="221"/>
      <c r="CD16" s="10"/>
      <c r="CE16" s="317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317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38">
        <f t="shared" si="1"/>
        <v>0</v>
      </c>
      <c r="DW16" s="14" t="str">
        <f t="shared" si="2"/>
        <v>PROB</v>
      </c>
    </row>
    <row r="17" spans="1:127" customFormat="1">
      <c r="A17" s="210">
        <v>32157</v>
      </c>
      <c r="B17" s="211"/>
      <c r="C17" s="8">
        <v>3</v>
      </c>
      <c r="D17" s="10">
        <v>9</v>
      </c>
      <c r="E17" s="10">
        <v>0</v>
      </c>
      <c r="F17" s="10">
        <v>3</v>
      </c>
      <c r="G17" s="10">
        <v>2</v>
      </c>
      <c r="H17" s="10">
        <v>4</v>
      </c>
      <c r="I17" s="10">
        <v>0</v>
      </c>
      <c r="J17" s="10">
        <v>0</v>
      </c>
      <c r="K17" s="59">
        <v>0</v>
      </c>
      <c r="L17" s="10">
        <v>0</v>
      </c>
      <c r="M17" s="59">
        <v>0</v>
      </c>
      <c r="N17" s="59">
        <v>0</v>
      </c>
      <c r="O17" s="10">
        <v>3</v>
      </c>
      <c r="P17" s="10">
        <v>0</v>
      </c>
      <c r="Q17" s="10">
        <v>0</v>
      </c>
      <c r="R17" s="10">
        <v>0</v>
      </c>
      <c r="S17" s="35">
        <f t="shared" si="0"/>
        <v>24</v>
      </c>
      <c r="T17" s="10"/>
      <c r="U17" s="10"/>
      <c r="V17" s="10"/>
      <c r="W17" s="10"/>
      <c r="X17" s="5"/>
      <c r="Y17" s="10"/>
      <c r="Z17" s="8"/>
      <c r="AA17" s="10"/>
      <c r="AB17" s="10"/>
      <c r="AC17" s="8"/>
      <c r="AD17" s="10"/>
      <c r="AE17" s="35"/>
      <c r="AF17" s="10"/>
      <c r="AG17" s="8">
        <v>37</v>
      </c>
      <c r="AH17" s="10">
        <v>14</v>
      </c>
      <c r="AI17" s="10">
        <v>116</v>
      </c>
      <c r="AJ17" s="5">
        <v>24</v>
      </c>
      <c r="AK17" s="10"/>
      <c r="AL17" s="8"/>
      <c r="AM17" s="10"/>
      <c r="AN17" s="35"/>
      <c r="AO17" s="10"/>
      <c r="AP17" s="10"/>
      <c r="AQ17" s="35"/>
      <c r="AR17" s="59"/>
      <c r="AS17" s="10"/>
      <c r="AT17" s="10"/>
      <c r="AU17" s="10"/>
      <c r="AV17" s="62"/>
      <c r="AW17" s="10"/>
      <c r="AX17" s="326"/>
      <c r="AY17" s="5"/>
      <c r="AZ17" s="10"/>
      <c r="BA17" s="8"/>
      <c r="BB17" s="10"/>
      <c r="BC17" s="10"/>
      <c r="BD17" s="10"/>
      <c r="BE17" s="10"/>
      <c r="BF17" s="10"/>
      <c r="BG17" s="10"/>
      <c r="BH17" s="30"/>
      <c r="BI17" s="10"/>
      <c r="BJ17" s="338"/>
      <c r="BK17" s="338"/>
      <c r="BL17" s="303"/>
      <c r="BM17" s="5"/>
      <c r="BN17" s="10"/>
      <c r="BO17" s="8"/>
      <c r="BP17" s="5"/>
      <c r="BQ17" s="10"/>
      <c r="BR17" s="29">
        <v>1988</v>
      </c>
      <c r="BS17" s="64">
        <v>1988</v>
      </c>
      <c r="BT17" s="14">
        <v>2</v>
      </c>
      <c r="BU17" s="10"/>
      <c r="BV17" s="8"/>
      <c r="BW17" s="10"/>
      <c r="BX17" s="10"/>
      <c r="BY17" s="10"/>
      <c r="BZ17" s="10"/>
      <c r="CA17" s="10"/>
      <c r="CB17" s="10"/>
      <c r="CC17" s="221"/>
      <c r="CD17" s="10"/>
      <c r="CE17" s="317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317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38">
        <f t="shared" si="1"/>
        <v>0</v>
      </c>
      <c r="DW17" s="14" t="str">
        <f t="shared" si="2"/>
        <v>PROB</v>
      </c>
    </row>
    <row r="18" spans="1:127" customFormat="1">
      <c r="A18" s="210">
        <v>32174</v>
      </c>
      <c r="B18" s="211"/>
      <c r="C18" s="8">
        <v>7</v>
      </c>
      <c r="D18" s="10">
        <v>17</v>
      </c>
      <c r="E18" s="10">
        <v>2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59">
        <v>0</v>
      </c>
      <c r="L18" s="10">
        <v>0</v>
      </c>
      <c r="M18" s="59">
        <v>0</v>
      </c>
      <c r="N18" s="59">
        <v>0</v>
      </c>
      <c r="O18" s="10">
        <v>10</v>
      </c>
      <c r="P18" s="10">
        <v>0</v>
      </c>
      <c r="Q18" s="10">
        <v>0</v>
      </c>
      <c r="R18" s="10">
        <v>0</v>
      </c>
      <c r="S18" s="35">
        <f t="shared" si="0"/>
        <v>37</v>
      </c>
      <c r="T18" s="10"/>
      <c r="U18" s="10"/>
      <c r="V18" s="10"/>
      <c r="W18" s="10"/>
      <c r="X18" s="5"/>
      <c r="Y18" s="10"/>
      <c r="Z18" s="8"/>
      <c r="AA18" s="10"/>
      <c r="AB18" s="10"/>
      <c r="AC18" s="8"/>
      <c r="AD18" s="10"/>
      <c r="AE18" s="35"/>
      <c r="AF18" s="10"/>
      <c r="AG18" s="8">
        <v>85</v>
      </c>
      <c r="AH18" s="10">
        <v>16</v>
      </c>
      <c r="AI18" s="10">
        <v>120</v>
      </c>
      <c r="AJ18" s="5">
        <v>16</v>
      </c>
      <c r="AK18" s="10"/>
      <c r="AL18" s="8"/>
      <c r="AM18" s="10"/>
      <c r="AN18" s="35"/>
      <c r="AO18" s="10"/>
      <c r="AP18" s="10"/>
      <c r="AQ18" s="35"/>
      <c r="AR18" s="59"/>
      <c r="AS18" s="10"/>
      <c r="AT18" s="10"/>
      <c r="AU18" s="10"/>
      <c r="AV18" s="62"/>
      <c r="AW18" s="10"/>
      <c r="AX18" s="326"/>
      <c r="AY18" s="5"/>
      <c r="AZ18" s="10"/>
      <c r="BA18" s="8"/>
      <c r="BB18" s="10"/>
      <c r="BC18" s="10"/>
      <c r="BD18" s="10"/>
      <c r="BE18" s="10"/>
      <c r="BF18" s="10"/>
      <c r="BG18" s="10"/>
      <c r="BH18" s="30"/>
      <c r="BI18" s="10"/>
      <c r="BJ18" s="338"/>
      <c r="BK18" s="338"/>
      <c r="BL18" s="303"/>
      <c r="BM18" s="5"/>
      <c r="BN18" s="10"/>
      <c r="BO18" s="8"/>
      <c r="BP18" s="5"/>
      <c r="BQ18" s="10"/>
      <c r="BR18" s="29">
        <v>1988</v>
      </c>
      <c r="BS18" s="64">
        <v>1988</v>
      </c>
      <c r="BT18" s="14">
        <v>3</v>
      </c>
      <c r="BU18" s="10"/>
      <c r="BV18" s="8"/>
      <c r="BW18" s="10"/>
      <c r="BX18" s="10"/>
      <c r="BY18" s="10"/>
      <c r="BZ18" s="10"/>
      <c r="CA18" s="10"/>
      <c r="CB18" s="10"/>
      <c r="CC18" s="221"/>
      <c r="CD18" s="10"/>
      <c r="CE18" s="317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317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38">
        <f t="shared" si="1"/>
        <v>0</v>
      </c>
      <c r="DW18" s="14" t="str">
        <f t="shared" si="2"/>
        <v>PROB</v>
      </c>
    </row>
    <row r="19" spans="1:127" customFormat="1">
      <c r="A19" s="210">
        <v>32188</v>
      </c>
      <c r="B19" s="211"/>
      <c r="C19" s="8">
        <v>5</v>
      </c>
      <c r="D19" s="10">
        <v>6</v>
      </c>
      <c r="E19" s="10">
        <v>2</v>
      </c>
      <c r="F19" s="10">
        <v>2</v>
      </c>
      <c r="G19" s="10">
        <v>0</v>
      </c>
      <c r="H19" s="10">
        <v>2</v>
      </c>
      <c r="I19" s="10">
        <v>0</v>
      </c>
      <c r="J19" s="10">
        <v>0</v>
      </c>
      <c r="K19" s="59">
        <v>0</v>
      </c>
      <c r="L19" s="10">
        <v>0</v>
      </c>
      <c r="M19" s="59">
        <v>0</v>
      </c>
      <c r="N19" s="59">
        <v>0</v>
      </c>
      <c r="O19" s="10">
        <v>6</v>
      </c>
      <c r="P19" s="10">
        <v>0</v>
      </c>
      <c r="Q19" s="10">
        <v>0</v>
      </c>
      <c r="R19" s="10">
        <v>0</v>
      </c>
      <c r="S19" s="35">
        <f t="shared" si="0"/>
        <v>23</v>
      </c>
      <c r="T19" s="10"/>
      <c r="U19" s="10"/>
      <c r="V19" s="10"/>
      <c r="W19" s="10"/>
      <c r="X19" s="5"/>
      <c r="Y19" s="10"/>
      <c r="Z19" s="8"/>
      <c r="AA19" s="10"/>
      <c r="AB19" s="10"/>
      <c r="AC19" s="8"/>
      <c r="AD19" s="10"/>
      <c r="AE19" s="35"/>
      <c r="AF19" s="10"/>
      <c r="AG19" s="8">
        <v>92</v>
      </c>
      <c r="AH19" s="59">
        <v>15</v>
      </c>
      <c r="AI19" s="10">
        <v>130</v>
      </c>
      <c r="AJ19" s="5">
        <v>16</v>
      </c>
      <c r="AK19" s="10"/>
      <c r="AL19" s="8"/>
      <c r="AM19" s="10"/>
      <c r="AN19" s="35"/>
      <c r="AO19" s="10"/>
      <c r="AP19" s="10"/>
      <c r="AQ19" s="35"/>
      <c r="AR19" s="59"/>
      <c r="AS19" s="10"/>
      <c r="AT19" s="10"/>
      <c r="AU19" s="10"/>
      <c r="AV19" s="62"/>
      <c r="AW19" s="10"/>
      <c r="AX19" s="326"/>
      <c r="AY19" s="5"/>
      <c r="AZ19" s="10"/>
      <c r="BA19" s="8"/>
      <c r="BB19" s="10"/>
      <c r="BC19" s="10"/>
      <c r="BD19" s="10"/>
      <c r="BE19" s="10"/>
      <c r="BF19" s="10"/>
      <c r="BG19" s="10"/>
      <c r="BH19" s="30"/>
      <c r="BI19" s="10"/>
      <c r="BJ19" s="338"/>
      <c r="BK19" s="338"/>
      <c r="BL19" s="303"/>
      <c r="BM19" s="5"/>
      <c r="BN19" s="10"/>
      <c r="BO19" s="8"/>
      <c r="BP19" s="5"/>
      <c r="BQ19" s="10"/>
      <c r="BR19" s="29">
        <v>1988</v>
      </c>
      <c r="BS19" s="64">
        <v>1988</v>
      </c>
      <c r="BT19" s="14">
        <v>4</v>
      </c>
      <c r="BU19" s="10"/>
      <c r="BV19" s="8"/>
      <c r="BW19" s="10"/>
      <c r="BX19" s="10"/>
      <c r="BY19" s="10"/>
      <c r="BZ19" s="10"/>
      <c r="CA19" s="10"/>
      <c r="CB19" s="10"/>
      <c r="CC19" s="221"/>
      <c r="CD19" s="10"/>
      <c r="CE19" s="317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317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38">
        <f t="shared" si="1"/>
        <v>0</v>
      </c>
      <c r="DW19" s="14" t="str">
        <f t="shared" si="2"/>
        <v>PROB</v>
      </c>
    </row>
    <row r="20" spans="1:127" customFormat="1">
      <c r="A20" s="210">
        <v>32203</v>
      </c>
      <c r="B20" s="211"/>
      <c r="C20" s="8">
        <v>4</v>
      </c>
      <c r="D20" s="10">
        <v>2</v>
      </c>
      <c r="E20" s="10">
        <v>0</v>
      </c>
      <c r="F20" s="10">
        <v>0</v>
      </c>
      <c r="G20" s="10">
        <v>1</v>
      </c>
      <c r="H20" s="10">
        <v>1</v>
      </c>
      <c r="I20" s="10">
        <v>0</v>
      </c>
      <c r="J20" s="10">
        <v>0</v>
      </c>
      <c r="K20" s="59">
        <v>0</v>
      </c>
      <c r="L20" s="10">
        <v>0</v>
      </c>
      <c r="M20" s="59">
        <v>0</v>
      </c>
      <c r="N20" s="59">
        <v>0</v>
      </c>
      <c r="O20" s="10">
        <v>2</v>
      </c>
      <c r="P20" s="10">
        <v>0</v>
      </c>
      <c r="Q20" s="10">
        <v>0</v>
      </c>
      <c r="R20" s="10">
        <v>0</v>
      </c>
      <c r="S20" s="35">
        <f t="shared" si="0"/>
        <v>10</v>
      </c>
      <c r="T20" s="10"/>
      <c r="U20" s="10"/>
      <c r="V20" s="10"/>
      <c r="W20" s="10"/>
      <c r="X20" s="5"/>
      <c r="Y20" s="10"/>
      <c r="Z20" s="8"/>
      <c r="AA20" s="10"/>
      <c r="AB20" s="10"/>
      <c r="AC20" s="8"/>
      <c r="AD20" s="10"/>
      <c r="AE20" s="35"/>
      <c r="AF20" s="10"/>
      <c r="AG20" s="8">
        <v>18</v>
      </c>
      <c r="AH20" s="59">
        <v>16</v>
      </c>
      <c r="AI20" s="10">
        <v>92</v>
      </c>
      <c r="AJ20" s="5">
        <v>12</v>
      </c>
      <c r="AK20" s="10"/>
      <c r="AL20" s="8"/>
      <c r="AM20" s="10"/>
      <c r="AN20" s="35"/>
      <c r="AO20" s="10"/>
      <c r="AP20" s="10"/>
      <c r="AQ20" s="35"/>
      <c r="AR20" s="59"/>
      <c r="AS20" s="10"/>
      <c r="AT20" s="10"/>
      <c r="AU20" s="10"/>
      <c r="AV20" s="62"/>
      <c r="AW20" s="10"/>
      <c r="AX20" s="326"/>
      <c r="AY20" s="5"/>
      <c r="AZ20" s="10"/>
      <c r="BA20" s="8"/>
      <c r="BB20" s="10"/>
      <c r="BC20" s="10"/>
      <c r="BD20" s="10"/>
      <c r="BE20" s="10"/>
      <c r="BF20" s="10"/>
      <c r="BG20" s="10"/>
      <c r="BH20" s="30"/>
      <c r="BI20" s="10"/>
      <c r="BJ20" s="338"/>
      <c r="BK20" s="338"/>
      <c r="BL20" s="303"/>
      <c r="BM20" s="5"/>
      <c r="BN20" s="10"/>
      <c r="BO20" s="8"/>
      <c r="BP20" s="5"/>
      <c r="BQ20" s="10"/>
      <c r="BR20" s="29">
        <v>1988</v>
      </c>
      <c r="BS20" s="64">
        <v>1988</v>
      </c>
      <c r="BT20" s="14">
        <v>5</v>
      </c>
      <c r="BU20" s="10"/>
      <c r="BV20" s="8"/>
      <c r="BW20" s="10"/>
      <c r="BX20" s="10"/>
      <c r="BY20" s="10"/>
      <c r="BZ20" s="10"/>
      <c r="CA20" s="10"/>
      <c r="CB20" s="10"/>
      <c r="CC20" s="221"/>
      <c r="CD20" s="10"/>
      <c r="CE20" s="317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317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38">
        <f t="shared" si="1"/>
        <v>0</v>
      </c>
      <c r="DW20" s="14" t="str">
        <f t="shared" si="2"/>
        <v>PROB</v>
      </c>
    </row>
    <row r="21" spans="1:127" customFormat="1">
      <c r="A21" s="210">
        <v>32217</v>
      </c>
      <c r="B21" s="211"/>
      <c r="C21" s="8">
        <v>2</v>
      </c>
      <c r="D21" s="10">
        <v>9</v>
      </c>
      <c r="E21" s="10">
        <v>1</v>
      </c>
      <c r="F21" s="10">
        <v>0</v>
      </c>
      <c r="G21" s="10">
        <v>0</v>
      </c>
      <c r="H21" s="10">
        <v>2</v>
      </c>
      <c r="I21" s="10">
        <v>0</v>
      </c>
      <c r="J21" s="10">
        <v>0</v>
      </c>
      <c r="K21" s="59">
        <v>0</v>
      </c>
      <c r="L21" s="10">
        <v>0</v>
      </c>
      <c r="M21" s="59">
        <v>0</v>
      </c>
      <c r="N21" s="59">
        <v>0</v>
      </c>
      <c r="O21" s="10">
        <v>4</v>
      </c>
      <c r="P21" s="10">
        <v>0</v>
      </c>
      <c r="Q21" s="10">
        <v>0</v>
      </c>
      <c r="R21" s="10">
        <v>0</v>
      </c>
      <c r="S21" s="35">
        <f t="shared" si="0"/>
        <v>18</v>
      </c>
      <c r="T21" s="10"/>
      <c r="U21" s="10"/>
      <c r="V21" s="10"/>
      <c r="W21" s="10"/>
      <c r="X21" s="5"/>
      <c r="Y21" s="10"/>
      <c r="Z21" s="8"/>
      <c r="AA21" s="10"/>
      <c r="AB21" s="10"/>
      <c r="AC21" s="8"/>
      <c r="AD21" s="10"/>
      <c r="AE21" s="35"/>
      <c r="AF21" s="10"/>
      <c r="AG21" s="8">
        <v>28</v>
      </c>
      <c r="AH21" s="59">
        <v>18</v>
      </c>
      <c r="AI21" s="10">
        <v>128</v>
      </c>
      <c r="AJ21" s="5">
        <v>16</v>
      </c>
      <c r="AK21" s="10"/>
      <c r="AL21" s="8"/>
      <c r="AM21" s="10"/>
      <c r="AN21" s="35"/>
      <c r="AO21" s="10"/>
      <c r="AP21" s="10"/>
      <c r="AQ21" s="35"/>
      <c r="AR21" s="59"/>
      <c r="AS21" s="10"/>
      <c r="AT21" s="10"/>
      <c r="AU21" s="10"/>
      <c r="AV21" s="62"/>
      <c r="AW21" s="10"/>
      <c r="AX21" s="326"/>
      <c r="AY21" s="5"/>
      <c r="AZ21" s="10"/>
      <c r="BA21" s="8"/>
      <c r="BB21" s="10"/>
      <c r="BC21" s="10"/>
      <c r="BD21" s="10"/>
      <c r="BE21" s="10"/>
      <c r="BF21" s="10"/>
      <c r="BG21" s="10"/>
      <c r="BH21" s="30"/>
      <c r="BI21" s="10"/>
      <c r="BJ21" s="338"/>
      <c r="BK21" s="338"/>
      <c r="BL21" s="303"/>
      <c r="BM21" s="5"/>
      <c r="BN21" s="10"/>
      <c r="BO21" s="8"/>
      <c r="BP21" s="5"/>
      <c r="BQ21" s="10"/>
      <c r="BR21" s="29">
        <v>1988</v>
      </c>
      <c r="BS21" s="64">
        <v>1988</v>
      </c>
      <c r="BT21" s="14">
        <v>6</v>
      </c>
      <c r="BU21" s="10"/>
      <c r="BV21" s="8"/>
      <c r="BW21" s="10"/>
      <c r="BX21" s="10"/>
      <c r="BY21" s="10"/>
      <c r="BZ21" s="10"/>
      <c r="CA21" s="10"/>
      <c r="CB21" s="10"/>
      <c r="CC21" s="221"/>
      <c r="CD21" s="10"/>
      <c r="CE21" s="317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317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38">
        <f t="shared" si="1"/>
        <v>0</v>
      </c>
      <c r="DW21" s="14" t="str">
        <f t="shared" si="2"/>
        <v>PROB</v>
      </c>
    </row>
    <row r="22" spans="1:127" customFormat="1">
      <c r="A22" s="210">
        <v>32234</v>
      </c>
      <c r="B22" s="211"/>
      <c r="C22" s="8">
        <v>3</v>
      </c>
      <c r="D22" s="10">
        <v>26</v>
      </c>
      <c r="E22" s="10">
        <v>0</v>
      </c>
      <c r="F22" s="10">
        <v>3</v>
      </c>
      <c r="G22" s="10">
        <v>0</v>
      </c>
      <c r="H22" s="10">
        <v>2</v>
      </c>
      <c r="I22" s="10">
        <v>0</v>
      </c>
      <c r="J22" s="10">
        <v>0</v>
      </c>
      <c r="K22" s="59">
        <v>0</v>
      </c>
      <c r="L22" s="10">
        <v>0</v>
      </c>
      <c r="M22" s="59">
        <v>0</v>
      </c>
      <c r="N22" s="59">
        <v>0</v>
      </c>
      <c r="O22" s="10">
        <v>7</v>
      </c>
      <c r="P22" s="10">
        <v>0</v>
      </c>
      <c r="Q22" s="10">
        <v>0</v>
      </c>
      <c r="R22" s="10">
        <v>0</v>
      </c>
      <c r="S22" s="35">
        <f t="shared" si="0"/>
        <v>41</v>
      </c>
      <c r="T22" s="10"/>
      <c r="U22" s="10"/>
      <c r="V22" s="10"/>
      <c r="W22" s="10"/>
      <c r="X22" s="5"/>
      <c r="Y22" s="10"/>
      <c r="Z22" s="8"/>
      <c r="AA22" s="10"/>
      <c r="AB22" s="10"/>
      <c r="AC22" s="8"/>
      <c r="AD22" s="10"/>
      <c r="AE22" s="35"/>
      <c r="AF22" s="10"/>
      <c r="AG22" s="8">
        <v>97</v>
      </c>
      <c r="AH22" s="59">
        <v>19</v>
      </c>
      <c r="AI22" s="10">
        <v>136</v>
      </c>
      <c r="AJ22" s="5">
        <v>12</v>
      </c>
      <c r="AK22" s="10"/>
      <c r="AL22" s="8"/>
      <c r="AM22" s="10"/>
      <c r="AN22" s="35"/>
      <c r="AO22" s="10"/>
      <c r="AP22" s="10"/>
      <c r="AQ22" s="35"/>
      <c r="AR22" s="59"/>
      <c r="AS22" s="10"/>
      <c r="AT22" s="10"/>
      <c r="AU22" s="10"/>
      <c r="AV22" s="62"/>
      <c r="AW22" s="10"/>
      <c r="AX22" s="326"/>
      <c r="AY22" s="5"/>
      <c r="AZ22" s="10"/>
      <c r="BA22" s="8"/>
      <c r="BB22" s="10"/>
      <c r="BC22" s="10"/>
      <c r="BD22" s="10"/>
      <c r="BE22" s="10"/>
      <c r="BF22" s="10"/>
      <c r="BG22" s="10"/>
      <c r="BH22" s="30"/>
      <c r="BI22" s="10"/>
      <c r="BJ22" s="338"/>
      <c r="BK22" s="338"/>
      <c r="BL22" s="303"/>
      <c r="BM22" s="5"/>
      <c r="BN22" s="10"/>
      <c r="BO22" s="8"/>
      <c r="BP22" s="5"/>
      <c r="BQ22" s="10"/>
      <c r="BR22" s="29">
        <v>1988</v>
      </c>
      <c r="BS22" s="64">
        <v>1988</v>
      </c>
      <c r="BT22" s="14">
        <v>7</v>
      </c>
      <c r="BU22" s="10"/>
      <c r="BV22" s="8"/>
      <c r="BW22" s="10"/>
      <c r="BX22" s="10"/>
      <c r="BY22" s="10"/>
      <c r="BZ22" s="10"/>
      <c r="CA22" s="10"/>
      <c r="CB22" s="10"/>
      <c r="CC22" s="221"/>
      <c r="CD22" s="10"/>
      <c r="CE22" s="317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317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38">
        <f t="shared" si="1"/>
        <v>0</v>
      </c>
      <c r="DW22" s="14" t="str">
        <f t="shared" si="2"/>
        <v>PROB</v>
      </c>
    </row>
    <row r="23" spans="1:127" customFormat="1">
      <c r="A23" s="210">
        <v>32248</v>
      </c>
      <c r="B23" s="211"/>
      <c r="C23" s="8">
        <v>6</v>
      </c>
      <c r="D23" s="10">
        <v>12</v>
      </c>
      <c r="E23" s="10">
        <v>1</v>
      </c>
      <c r="F23" s="10">
        <v>3</v>
      </c>
      <c r="G23" s="10">
        <v>1</v>
      </c>
      <c r="H23" s="10">
        <v>0</v>
      </c>
      <c r="I23" s="10">
        <v>0</v>
      </c>
      <c r="J23" s="10">
        <v>0</v>
      </c>
      <c r="K23" s="59">
        <v>0</v>
      </c>
      <c r="L23" s="10">
        <v>0</v>
      </c>
      <c r="M23" s="59">
        <v>0</v>
      </c>
      <c r="N23" s="59">
        <v>0</v>
      </c>
      <c r="O23" s="10">
        <v>1</v>
      </c>
      <c r="P23" s="10">
        <v>0</v>
      </c>
      <c r="Q23" s="10">
        <v>0</v>
      </c>
      <c r="R23" s="10">
        <v>0</v>
      </c>
      <c r="S23" s="35">
        <f t="shared" si="0"/>
        <v>24</v>
      </c>
      <c r="T23" s="10"/>
      <c r="U23" s="10"/>
      <c r="V23" s="10"/>
      <c r="W23" s="10"/>
      <c r="X23" s="5"/>
      <c r="Y23" s="10"/>
      <c r="Z23" s="8"/>
      <c r="AA23" s="10"/>
      <c r="AB23" s="10"/>
      <c r="AC23" s="8"/>
      <c r="AD23" s="10"/>
      <c r="AE23" s="35"/>
      <c r="AF23" s="10"/>
      <c r="AG23" s="8">
        <v>78</v>
      </c>
      <c r="AH23" s="59">
        <v>20</v>
      </c>
      <c r="AI23" s="10">
        <v>132</v>
      </c>
      <c r="AJ23" s="5">
        <v>12</v>
      </c>
      <c r="AK23" s="10"/>
      <c r="AL23" s="8"/>
      <c r="AM23" s="10"/>
      <c r="AN23" s="35"/>
      <c r="AO23" s="10"/>
      <c r="AP23" s="10"/>
      <c r="AQ23" s="35"/>
      <c r="AR23" s="59"/>
      <c r="AS23" s="10"/>
      <c r="AT23" s="10"/>
      <c r="AU23" s="10"/>
      <c r="AV23" s="62"/>
      <c r="AW23" s="10"/>
      <c r="AX23" s="326"/>
      <c r="AY23" s="5"/>
      <c r="AZ23" s="10"/>
      <c r="BA23" s="8"/>
      <c r="BB23" s="10"/>
      <c r="BC23" s="10"/>
      <c r="BD23" s="10"/>
      <c r="BE23" s="10"/>
      <c r="BF23" s="10"/>
      <c r="BG23" s="10"/>
      <c r="BH23" s="30"/>
      <c r="BI23" s="10"/>
      <c r="BJ23" s="338"/>
      <c r="BK23" s="338"/>
      <c r="BL23" s="303"/>
      <c r="BM23" s="5"/>
      <c r="BN23" s="10"/>
      <c r="BO23" s="8"/>
      <c r="BP23" s="5"/>
      <c r="BQ23" s="10"/>
      <c r="BR23" s="29">
        <v>1988</v>
      </c>
      <c r="BS23" s="64">
        <v>1988</v>
      </c>
      <c r="BT23" s="14">
        <v>8</v>
      </c>
      <c r="BU23" s="10"/>
      <c r="BV23" s="8"/>
      <c r="BW23" s="10"/>
      <c r="BX23" s="10"/>
      <c r="BY23" s="10"/>
      <c r="BZ23" s="10"/>
      <c r="CA23" s="10"/>
      <c r="CB23" s="10"/>
      <c r="CC23" s="221"/>
      <c r="CD23" s="10"/>
      <c r="CE23" s="317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317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38">
        <f t="shared" si="1"/>
        <v>0</v>
      </c>
      <c r="DW23" s="14" t="str">
        <f t="shared" si="2"/>
        <v>PROB</v>
      </c>
    </row>
    <row r="24" spans="1:127" customFormat="1">
      <c r="A24" s="210">
        <v>32264</v>
      </c>
      <c r="B24" s="211"/>
      <c r="C24" s="8">
        <v>12</v>
      </c>
      <c r="D24" s="10">
        <v>9</v>
      </c>
      <c r="E24" s="10">
        <v>1</v>
      </c>
      <c r="F24" s="10">
        <v>5</v>
      </c>
      <c r="G24" s="10">
        <v>5</v>
      </c>
      <c r="H24" s="10">
        <v>1</v>
      </c>
      <c r="I24" s="10">
        <v>0</v>
      </c>
      <c r="J24" s="10">
        <v>0</v>
      </c>
      <c r="K24" s="59">
        <v>0</v>
      </c>
      <c r="L24" s="10">
        <v>0</v>
      </c>
      <c r="M24" s="59">
        <v>0</v>
      </c>
      <c r="N24" s="59">
        <v>0</v>
      </c>
      <c r="O24" s="10">
        <v>6</v>
      </c>
      <c r="P24" s="10">
        <v>0</v>
      </c>
      <c r="Q24" s="10">
        <v>0</v>
      </c>
      <c r="R24" s="10">
        <v>1</v>
      </c>
      <c r="S24" s="35">
        <f t="shared" si="0"/>
        <v>40</v>
      </c>
      <c r="T24" s="10"/>
      <c r="U24" s="10"/>
      <c r="V24" s="10"/>
      <c r="W24" s="10"/>
      <c r="X24" s="5"/>
      <c r="Y24" s="10"/>
      <c r="Z24" s="8"/>
      <c r="AA24" s="10"/>
      <c r="AB24" s="10"/>
      <c r="AC24" s="8"/>
      <c r="AD24" s="10"/>
      <c r="AE24" s="35"/>
      <c r="AF24" s="10"/>
      <c r="AG24" s="8">
        <v>85</v>
      </c>
      <c r="AH24" s="59">
        <v>21</v>
      </c>
      <c r="AI24" s="10">
        <v>128</v>
      </c>
      <c r="AJ24" s="5">
        <v>16</v>
      </c>
      <c r="AK24" s="10"/>
      <c r="AL24" s="8"/>
      <c r="AM24" s="10"/>
      <c r="AN24" s="35"/>
      <c r="AO24" s="10"/>
      <c r="AP24" s="10"/>
      <c r="AQ24" s="35"/>
      <c r="AR24" s="59"/>
      <c r="AS24" s="10"/>
      <c r="AT24" s="10"/>
      <c r="AU24" s="10"/>
      <c r="AV24" s="62"/>
      <c r="AW24" s="10"/>
      <c r="AX24" s="326"/>
      <c r="AY24" s="5"/>
      <c r="AZ24" s="10"/>
      <c r="BA24" s="8"/>
      <c r="BB24" s="10"/>
      <c r="BC24" s="10"/>
      <c r="BD24" s="10"/>
      <c r="BE24" s="10"/>
      <c r="BF24" s="10"/>
      <c r="BG24" s="10"/>
      <c r="BH24" s="30"/>
      <c r="BI24" s="10"/>
      <c r="BJ24" s="338"/>
      <c r="BK24" s="338"/>
      <c r="BL24" s="303"/>
      <c r="BM24" s="5"/>
      <c r="BN24" s="10"/>
      <c r="BO24" s="8"/>
      <c r="BP24" s="5"/>
      <c r="BQ24" s="10"/>
      <c r="BR24" s="29">
        <v>1988</v>
      </c>
      <c r="BS24" s="64">
        <v>1988</v>
      </c>
      <c r="BT24" s="14">
        <v>9</v>
      </c>
      <c r="BU24" s="10"/>
      <c r="BV24" s="8"/>
      <c r="BW24" s="10"/>
      <c r="BX24" s="10"/>
      <c r="BY24" s="10"/>
      <c r="BZ24" s="10"/>
      <c r="CA24" s="10"/>
      <c r="CB24" s="10"/>
      <c r="CC24" s="221"/>
      <c r="CD24" s="10"/>
      <c r="CE24" s="317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317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38">
        <f t="shared" si="1"/>
        <v>0</v>
      </c>
      <c r="DW24" s="14" t="str">
        <f t="shared" si="2"/>
        <v>PROB</v>
      </c>
    </row>
    <row r="25" spans="1:127" customFormat="1">
      <c r="A25" s="210">
        <v>32278</v>
      </c>
      <c r="B25" s="211"/>
      <c r="C25" s="8">
        <v>8</v>
      </c>
      <c r="D25" s="10">
        <v>19</v>
      </c>
      <c r="E25" s="10">
        <v>13</v>
      </c>
      <c r="F25" s="10">
        <v>2</v>
      </c>
      <c r="G25" s="10">
        <v>2</v>
      </c>
      <c r="H25" s="10">
        <v>3</v>
      </c>
      <c r="I25" s="10">
        <v>0</v>
      </c>
      <c r="J25" s="10">
        <v>0</v>
      </c>
      <c r="K25" s="59">
        <v>0</v>
      </c>
      <c r="L25" s="10">
        <v>0</v>
      </c>
      <c r="M25" s="59">
        <v>0</v>
      </c>
      <c r="N25" s="59">
        <v>0</v>
      </c>
      <c r="O25" s="10">
        <v>4</v>
      </c>
      <c r="P25" s="10">
        <v>0</v>
      </c>
      <c r="Q25" s="10">
        <v>0</v>
      </c>
      <c r="R25" s="10">
        <v>0</v>
      </c>
      <c r="S25" s="35">
        <f t="shared" si="0"/>
        <v>51</v>
      </c>
      <c r="T25" s="10"/>
      <c r="U25" s="10"/>
      <c r="V25" s="10"/>
      <c r="W25" s="10"/>
      <c r="X25" s="5"/>
      <c r="Y25" s="10"/>
      <c r="Z25" s="8"/>
      <c r="AA25" s="10"/>
      <c r="AB25" s="10"/>
      <c r="AC25" s="8"/>
      <c r="AD25" s="10"/>
      <c r="AE25" s="35"/>
      <c r="AF25" s="10"/>
      <c r="AG25" s="8">
        <v>72</v>
      </c>
      <c r="AH25" s="59">
        <v>22</v>
      </c>
      <c r="AI25" s="10">
        <v>134</v>
      </c>
      <c r="AJ25" s="5">
        <v>20</v>
      </c>
      <c r="AK25" s="10"/>
      <c r="AL25" s="8"/>
      <c r="AM25" s="10"/>
      <c r="AN25" s="35"/>
      <c r="AO25" s="10"/>
      <c r="AP25" s="10"/>
      <c r="AQ25" s="35"/>
      <c r="AR25" s="59"/>
      <c r="AS25" s="10"/>
      <c r="AT25" s="10"/>
      <c r="AU25" s="10"/>
      <c r="AV25" s="62"/>
      <c r="AW25" s="10"/>
      <c r="AX25" s="326"/>
      <c r="AY25" s="5"/>
      <c r="AZ25" s="10"/>
      <c r="BA25" s="8"/>
      <c r="BB25" s="10"/>
      <c r="BC25" s="10"/>
      <c r="BD25" s="10"/>
      <c r="BE25" s="10"/>
      <c r="BF25" s="10"/>
      <c r="BG25" s="10"/>
      <c r="BH25" s="30"/>
      <c r="BI25" s="10"/>
      <c r="BJ25" s="338"/>
      <c r="BK25" s="338"/>
      <c r="BL25" s="303"/>
      <c r="BM25" s="5"/>
      <c r="BN25" s="10"/>
      <c r="BO25" s="8"/>
      <c r="BP25" s="5"/>
      <c r="BQ25" s="10"/>
      <c r="BR25" s="29">
        <v>1988</v>
      </c>
      <c r="BS25" s="64">
        <v>1988</v>
      </c>
      <c r="BT25" s="14">
        <v>10</v>
      </c>
      <c r="BU25" s="10"/>
      <c r="BV25" s="8"/>
      <c r="BW25" s="10"/>
      <c r="BX25" s="10"/>
      <c r="BY25" s="10"/>
      <c r="BZ25" s="10"/>
      <c r="CA25" s="10"/>
      <c r="CB25" s="10"/>
      <c r="CC25" s="221"/>
      <c r="CD25" s="10"/>
      <c r="CE25" s="317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317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38">
        <f t="shared" si="1"/>
        <v>0</v>
      </c>
      <c r="DW25" s="14" t="str">
        <f t="shared" si="2"/>
        <v>PROB</v>
      </c>
    </row>
    <row r="26" spans="1:127" customFormat="1">
      <c r="A26" s="210">
        <v>32295</v>
      </c>
      <c r="B26" s="211"/>
      <c r="C26" s="8">
        <v>7</v>
      </c>
      <c r="D26" s="10">
        <v>35</v>
      </c>
      <c r="E26" s="10">
        <v>4</v>
      </c>
      <c r="F26" s="10">
        <v>6</v>
      </c>
      <c r="G26" s="10">
        <v>4</v>
      </c>
      <c r="H26" s="10">
        <v>1</v>
      </c>
      <c r="I26" s="10">
        <v>0</v>
      </c>
      <c r="J26" s="10">
        <v>0</v>
      </c>
      <c r="K26" s="59">
        <v>0</v>
      </c>
      <c r="L26" s="10">
        <v>0</v>
      </c>
      <c r="M26" s="59">
        <v>0</v>
      </c>
      <c r="N26" s="59">
        <v>0</v>
      </c>
      <c r="O26" s="10">
        <v>3</v>
      </c>
      <c r="P26" s="10">
        <v>0</v>
      </c>
      <c r="Q26" s="10">
        <v>0</v>
      </c>
      <c r="R26" s="10">
        <v>0</v>
      </c>
      <c r="S26" s="35">
        <f t="shared" si="0"/>
        <v>60</v>
      </c>
      <c r="T26" s="10"/>
      <c r="U26" s="10"/>
      <c r="V26" s="10"/>
      <c r="W26" s="10"/>
      <c r="X26" s="5"/>
      <c r="Y26" s="10"/>
      <c r="Z26" s="8"/>
      <c r="AA26" s="10"/>
      <c r="AB26" s="10"/>
      <c r="AC26" s="8"/>
      <c r="AD26" s="10"/>
      <c r="AE26" s="35"/>
      <c r="AF26" s="10"/>
      <c r="AG26" s="8">
        <v>130</v>
      </c>
      <c r="AH26" s="59">
        <v>22</v>
      </c>
      <c r="AI26" s="10">
        <v>234</v>
      </c>
      <c r="AJ26" s="5">
        <v>20</v>
      </c>
      <c r="AK26" s="10"/>
      <c r="AL26" s="8"/>
      <c r="AM26" s="10"/>
      <c r="AN26" s="35"/>
      <c r="AO26" s="10"/>
      <c r="AP26" s="10"/>
      <c r="AQ26" s="35"/>
      <c r="AR26" s="59"/>
      <c r="AS26" s="10"/>
      <c r="AT26" s="10"/>
      <c r="AU26" s="10"/>
      <c r="AV26" s="62"/>
      <c r="AW26" s="10"/>
      <c r="AX26" s="326"/>
      <c r="AY26" s="5"/>
      <c r="AZ26" s="10"/>
      <c r="BA26" s="8"/>
      <c r="BB26" s="10"/>
      <c r="BC26" s="10"/>
      <c r="BD26" s="10"/>
      <c r="BE26" s="10"/>
      <c r="BF26" s="10"/>
      <c r="BG26" s="10"/>
      <c r="BH26" s="30"/>
      <c r="BI26" s="10"/>
      <c r="BJ26" s="338"/>
      <c r="BK26" s="338"/>
      <c r="BL26" s="303"/>
      <c r="BM26" s="5"/>
      <c r="BN26" s="10"/>
      <c r="BO26" s="8"/>
      <c r="BP26" s="5"/>
      <c r="BQ26" s="10"/>
      <c r="BR26" s="29">
        <v>1988</v>
      </c>
      <c r="BS26" s="64">
        <v>1988</v>
      </c>
      <c r="BT26" s="14">
        <v>11</v>
      </c>
      <c r="BU26" s="10"/>
      <c r="BV26" s="8"/>
      <c r="BW26" s="10"/>
      <c r="BX26" s="10"/>
      <c r="BY26" s="10"/>
      <c r="BZ26" s="10"/>
      <c r="CA26" s="10"/>
      <c r="CB26" s="10"/>
      <c r="CC26" s="221"/>
      <c r="CD26" s="10"/>
      <c r="CE26" s="317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317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38">
        <f t="shared" si="1"/>
        <v>0</v>
      </c>
      <c r="DW26" s="14" t="str">
        <f t="shared" si="2"/>
        <v>PROB</v>
      </c>
    </row>
    <row r="27" spans="1:127" customFormat="1">
      <c r="A27" s="210">
        <v>32309</v>
      </c>
      <c r="B27" s="211"/>
      <c r="C27" s="8">
        <v>6</v>
      </c>
      <c r="D27" s="10">
        <v>15</v>
      </c>
      <c r="E27" s="10">
        <v>2</v>
      </c>
      <c r="F27" s="10">
        <v>0</v>
      </c>
      <c r="G27" s="10">
        <v>0</v>
      </c>
      <c r="H27" s="10">
        <v>0</v>
      </c>
      <c r="I27" s="57">
        <v>0</v>
      </c>
      <c r="J27" s="10">
        <v>0</v>
      </c>
      <c r="K27" s="59">
        <v>0</v>
      </c>
      <c r="L27" s="57">
        <v>0</v>
      </c>
      <c r="M27" s="57">
        <v>0</v>
      </c>
      <c r="N27" s="57">
        <v>0</v>
      </c>
      <c r="O27" s="10">
        <v>6</v>
      </c>
      <c r="P27" s="57">
        <v>0</v>
      </c>
      <c r="Q27" s="57">
        <v>0</v>
      </c>
      <c r="R27" s="10">
        <v>0</v>
      </c>
      <c r="S27" s="35">
        <f t="shared" si="0"/>
        <v>29</v>
      </c>
      <c r="T27" s="10"/>
      <c r="U27" s="10"/>
      <c r="V27" s="10"/>
      <c r="W27" s="10"/>
      <c r="X27" s="5"/>
      <c r="Y27" s="10"/>
      <c r="Z27" s="8"/>
      <c r="AA27" s="10"/>
      <c r="AB27" s="10"/>
      <c r="AC27" s="8"/>
      <c r="AD27" s="10"/>
      <c r="AE27" s="35"/>
      <c r="AF27" s="10"/>
      <c r="AG27" s="8">
        <v>63</v>
      </c>
      <c r="AH27" s="59">
        <v>33</v>
      </c>
      <c r="AI27" s="10">
        <v>116</v>
      </c>
      <c r="AJ27" s="5">
        <v>12</v>
      </c>
      <c r="AK27" s="10"/>
      <c r="AL27" s="8"/>
      <c r="AM27" s="10"/>
      <c r="AN27" s="35"/>
      <c r="AO27" s="10"/>
      <c r="AP27" s="10"/>
      <c r="AQ27" s="35"/>
      <c r="AR27" s="59"/>
      <c r="AS27" s="10"/>
      <c r="AT27" s="10"/>
      <c r="AU27" s="10"/>
      <c r="AV27" s="62"/>
      <c r="AW27" s="10"/>
      <c r="AX27" s="326"/>
      <c r="AY27" s="5"/>
      <c r="AZ27" s="10"/>
      <c r="BA27" s="8"/>
      <c r="BB27" s="10"/>
      <c r="BC27" s="10"/>
      <c r="BD27" s="10"/>
      <c r="BE27" s="10"/>
      <c r="BF27" s="10"/>
      <c r="BG27" s="10"/>
      <c r="BH27" s="30"/>
      <c r="BI27" s="10"/>
      <c r="BJ27" s="338"/>
      <c r="BK27" s="338"/>
      <c r="BL27" s="303"/>
      <c r="BM27" s="5"/>
      <c r="BN27" s="10"/>
      <c r="BO27" s="8"/>
      <c r="BP27" s="5"/>
      <c r="BQ27" s="10"/>
      <c r="BR27" s="29">
        <v>1988</v>
      </c>
      <c r="BS27" s="64">
        <v>1988</v>
      </c>
      <c r="BT27" s="14">
        <v>12</v>
      </c>
      <c r="BU27" s="10"/>
      <c r="BV27" s="8"/>
      <c r="BW27" s="10"/>
      <c r="BX27" s="10"/>
      <c r="BY27" s="10"/>
      <c r="BZ27" s="10"/>
      <c r="CA27" s="10"/>
      <c r="CB27" s="10"/>
      <c r="CC27" s="221"/>
      <c r="CD27" s="10"/>
      <c r="CE27" s="317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317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38">
        <f t="shared" si="1"/>
        <v>0</v>
      </c>
      <c r="DW27" s="14" t="str">
        <f t="shared" si="2"/>
        <v>PROB</v>
      </c>
    </row>
    <row r="28" spans="1:127" s="6" customFormat="1" ht="12" thickBot="1">
      <c r="A28" s="212" t="s">
        <v>51</v>
      </c>
      <c r="B28" s="83"/>
      <c r="C28" s="52">
        <f t="shared" ref="C28:X28" si="3">SUM(C4:C27)</f>
        <v>178</v>
      </c>
      <c r="D28" s="53">
        <f t="shared" si="3"/>
        <v>313</v>
      </c>
      <c r="E28" s="53">
        <f t="shared" si="3"/>
        <v>33</v>
      </c>
      <c r="F28" s="53">
        <f t="shared" si="3"/>
        <v>41</v>
      </c>
      <c r="G28" s="53">
        <f t="shared" si="3"/>
        <v>24</v>
      </c>
      <c r="H28" s="53">
        <f t="shared" si="3"/>
        <v>56</v>
      </c>
      <c r="I28" s="53">
        <f>SUM(I4:I27)</f>
        <v>0</v>
      </c>
      <c r="J28" s="53">
        <f t="shared" si="3"/>
        <v>0</v>
      </c>
      <c r="K28" s="53">
        <f t="shared" si="3"/>
        <v>0</v>
      </c>
      <c r="L28" s="53">
        <f t="shared" si="3"/>
        <v>0</v>
      </c>
      <c r="M28" s="53">
        <f t="shared" ref="M28:P28" si="4">SUM(M4:M27)</f>
        <v>0</v>
      </c>
      <c r="N28" s="53">
        <f t="shared" si="4"/>
        <v>0</v>
      </c>
      <c r="O28" s="53">
        <f>SUM(O4:O27)</f>
        <v>70</v>
      </c>
      <c r="P28" s="53">
        <f t="shared" si="4"/>
        <v>0</v>
      </c>
      <c r="Q28" s="53">
        <f t="shared" si="3"/>
        <v>0</v>
      </c>
      <c r="R28" s="53">
        <f t="shared" si="3"/>
        <v>1</v>
      </c>
      <c r="S28" s="55">
        <f t="shared" si="3"/>
        <v>716</v>
      </c>
      <c r="T28" s="53">
        <f t="shared" si="3"/>
        <v>0</v>
      </c>
      <c r="U28" s="53">
        <f t="shared" si="3"/>
        <v>0</v>
      </c>
      <c r="V28" s="53">
        <f t="shared" ref="V28" si="5">SUM(V4:V27)</f>
        <v>0</v>
      </c>
      <c r="W28" s="53">
        <f t="shared" si="3"/>
        <v>0</v>
      </c>
      <c r="X28" s="54">
        <f t="shared" si="3"/>
        <v>0</v>
      </c>
      <c r="Z28" s="52">
        <f>SUM(Z4:Z27)</f>
        <v>0</v>
      </c>
      <c r="AA28" s="53">
        <f>SUM(AA4:AA27)</f>
        <v>0</v>
      </c>
      <c r="AB28" s="53"/>
      <c r="AC28" s="52">
        <f>SUM(AC4:AC27)</f>
        <v>0</v>
      </c>
      <c r="AD28" s="53">
        <f>SUM(AD4:AD27)</f>
        <v>0</v>
      </c>
      <c r="AE28" s="55">
        <f>SUM(AE4:AE27)</f>
        <v>0</v>
      </c>
      <c r="AG28" s="52">
        <f>SUM(AG4:AG27)</f>
        <v>815</v>
      </c>
      <c r="AH28" s="53">
        <f>SUM(AH4:AH27)</f>
        <v>226</v>
      </c>
      <c r="AI28" s="53">
        <f>SUM(AI4:AI27)</f>
        <v>3248</v>
      </c>
      <c r="AJ28" s="54">
        <f>SUM(AJ4:AJ27)</f>
        <v>388</v>
      </c>
      <c r="AL28" s="52">
        <f t="shared" ref="AL28:AV28" si="6">SUM(AL4:AL27)</f>
        <v>0</v>
      </c>
      <c r="AM28" s="53">
        <f t="shared" si="6"/>
        <v>0</v>
      </c>
      <c r="AN28" s="55">
        <f t="shared" si="6"/>
        <v>0</v>
      </c>
      <c r="AO28" s="53">
        <f t="shared" si="6"/>
        <v>0</v>
      </c>
      <c r="AP28" s="53">
        <f t="shared" si="6"/>
        <v>0</v>
      </c>
      <c r="AQ28" s="55">
        <f t="shared" si="6"/>
        <v>0</v>
      </c>
      <c r="AR28" s="53">
        <f t="shared" si="6"/>
        <v>0</v>
      </c>
      <c r="AS28" s="53">
        <f t="shared" si="6"/>
        <v>0</v>
      </c>
      <c r="AT28" s="53">
        <f t="shared" si="6"/>
        <v>0</v>
      </c>
      <c r="AU28" s="53">
        <f t="shared" si="6"/>
        <v>0</v>
      </c>
      <c r="AV28" s="54">
        <f t="shared" si="6"/>
        <v>0</v>
      </c>
      <c r="AX28" s="329"/>
      <c r="AY28" s="54"/>
      <c r="BA28" s="52">
        <f t="shared" ref="BA28:BM28" si="7">SUM(BA4:BA27)</f>
        <v>1446</v>
      </c>
      <c r="BB28" s="53">
        <f t="shared" si="7"/>
        <v>0</v>
      </c>
      <c r="BC28" s="53">
        <f t="shared" si="7"/>
        <v>0</v>
      </c>
      <c r="BD28" s="53">
        <f t="shared" ref="BD28:BL28" si="8">SUM(BD4:BD27)</f>
        <v>0</v>
      </c>
      <c r="BE28" s="53">
        <f t="shared" si="8"/>
        <v>0</v>
      </c>
      <c r="BF28" s="53">
        <f t="shared" si="8"/>
        <v>0</v>
      </c>
      <c r="BG28" s="53">
        <f t="shared" si="8"/>
        <v>0</v>
      </c>
      <c r="BH28" s="55"/>
      <c r="BI28" s="53">
        <f t="shared" si="8"/>
        <v>0</v>
      </c>
      <c r="BJ28" s="339"/>
      <c r="BK28" s="339"/>
      <c r="BL28" s="53">
        <f t="shared" si="8"/>
        <v>0</v>
      </c>
      <c r="BM28" s="54">
        <f t="shared" si="7"/>
        <v>3613</v>
      </c>
      <c r="BO28" s="52">
        <f>SUM(BO4:BO27)</f>
        <v>0</v>
      </c>
      <c r="BP28" s="54">
        <f>SUM(BP4:BP27)</f>
        <v>0</v>
      </c>
      <c r="BR28" s="81" t="s">
        <v>52</v>
      </c>
      <c r="BS28" s="80"/>
      <c r="BT28" s="82"/>
      <c r="BV28" s="52">
        <f>SUM(BV4:BV27)</f>
        <v>0</v>
      </c>
      <c r="BW28" s="53">
        <f>SUM(BW4:BW27)</f>
        <v>0</v>
      </c>
      <c r="BX28" s="53">
        <f>SUM(BX4:BX27)</f>
        <v>0</v>
      </c>
      <c r="BY28" s="53">
        <f t="shared" ref="BY28" si="9">SUM(BY4:BY27)</f>
        <v>0</v>
      </c>
      <c r="BZ28" s="53">
        <f t="shared" ref="BZ28:DU28" si="10">SUM(BZ4:BZ27)</f>
        <v>0</v>
      </c>
      <c r="CA28" s="53">
        <f t="shared" si="10"/>
        <v>0</v>
      </c>
      <c r="CB28" s="53">
        <f t="shared" si="10"/>
        <v>0</v>
      </c>
      <c r="CC28" s="53">
        <f t="shared" si="10"/>
        <v>0</v>
      </c>
      <c r="CD28" s="53">
        <f t="shared" si="10"/>
        <v>0</v>
      </c>
      <c r="CE28" s="53">
        <f t="shared" si="10"/>
        <v>0</v>
      </c>
      <c r="CF28" s="53">
        <f t="shared" si="10"/>
        <v>0</v>
      </c>
      <c r="CG28" s="53">
        <f t="shared" si="10"/>
        <v>0</v>
      </c>
      <c r="CH28" s="53">
        <f t="shared" si="10"/>
        <v>0</v>
      </c>
      <c r="CI28" s="53">
        <f t="shared" si="10"/>
        <v>0</v>
      </c>
      <c r="CJ28" s="53">
        <f t="shared" si="10"/>
        <v>0</v>
      </c>
      <c r="CK28" s="53">
        <f t="shared" si="10"/>
        <v>0</v>
      </c>
      <c r="CL28" s="53">
        <f t="shared" si="10"/>
        <v>0</v>
      </c>
      <c r="CM28" s="53">
        <f t="shared" si="10"/>
        <v>0</v>
      </c>
      <c r="CN28" s="53">
        <f t="shared" si="10"/>
        <v>0</v>
      </c>
      <c r="CO28" s="53">
        <f t="shared" si="10"/>
        <v>0</v>
      </c>
      <c r="CP28" s="53">
        <f t="shared" si="10"/>
        <v>0</v>
      </c>
      <c r="CQ28" s="53">
        <f t="shared" si="10"/>
        <v>0</v>
      </c>
      <c r="CR28" s="53">
        <f t="shared" si="10"/>
        <v>0</v>
      </c>
      <c r="CS28" s="53">
        <f t="shared" si="10"/>
        <v>0</v>
      </c>
      <c r="CT28" s="53">
        <f t="shared" si="10"/>
        <v>0</v>
      </c>
      <c r="CU28" s="53">
        <f t="shared" si="10"/>
        <v>0</v>
      </c>
      <c r="CV28" s="53">
        <f t="shared" si="10"/>
        <v>0</v>
      </c>
      <c r="CW28" s="53">
        <f t="shared" si="10"/>
        <v>0</v>
      </c>
      <c r="CX28" s="53">
        <f t="shared" si="10"/>
        <v>0</v>
      </c>
      <c r="CY28" s="53">
        <f t="shared" si="10"/>
        <v>0</v>
      </c>
      <c r="CZ28" s="53">
        <f t="shared" si="10"/>
        <v>0</v>
      </c>
      <c r="DA28" s="53">
        <f t="shared" si="10"/>
        <v>0</v>
      </c>
      <c r="DB28" s="53">
        <f t="shared" si="10"/>
        <v>0</v>
      </c>
      <c r="DC28" s="53">
        <f t="shared" si="10"/>
        <v>0</v>
      </c>
      <c r="DD28" s="53">
        <f t="shared" si="10"/>
        <v>0</v>
      </c>
      <c r="DE28" s="53">
        <f t="shared" si="10"/>
        <v>0</v>
      </c>
      <c r="DF28" s="53">
        <f t="shared" si="10"/>
        <v>0</v>
      </c>
      <c r="DG28" s="53">
        <f t="shared" si="10"/>
        <v>0</v>
      </c>
      <c r="DH28" s="53">
        <f t="shared" si="10"/>
        <v>0</v>
      </c>
      <c r="DI28" s="53">
        <f t="shared" si="10"/>
        <v>0</v>
      </c>
      <c r="DJ28" s="53">
        <f t="shared" si="10"/>
        <v>0</v>
      </c>
      <c r="DK28" s="53">
        <f t="shared" si="10"/>
        <v>0</v>
      </c>
      <c r="DL28" s="53">
        <f t="shared" si="10"/>
        <v>0</v>
      </c>
      <c r="DM28" s="53">
        <f t="shared" si="10"/>
        <v>0</v>
      </c>
      <c r="DN28" s="53">
        <f t="shared" si="10"/>
        <v>0</v>
      </c>
      <c r="DO28" s="53">
        <f t="shared" si="10"/>
        <v>0</v>
      </c>
      <c r="DP28" s="53">
        <f t="shared" si="10"/>
        <v>0</v>
      </c>
      <c r="DQ28" s="53">
        <f t="shared" si="10"/>
        <v>0</v>
      </c>
      <c r="DR28" s="53">
        <f t="shared" si="10"/>
        <v>0</v>
      </c>
      <c r="DS28" s="53">
        <f t="shared" si="10"/>
        <v>0</v>
      </c>
      <c r="DT28" s="53">
        <f t="shared" si="10"/>
        <v>0</v>
      </c>
      <c r="DU28" s="53">
        <f t="shared" si="10"/>
        <v>0</v>
      </c>
      <c r="DV28" s="54">
        <f t="shared" si="1"/>
        <v>0</v>
      </c>
      <c r="DW28" s="48"/>
    </row>
    <row r="29" spans="1:127" s="6" customFormat="1" ht="12" thickTop="1">
      <c r="A29" s="213" t="s">
        <v>53</v>
      </c>
      <c r="B29" s="24"/>
      <c r="C29" s="39">
        <f t="shared" ref="C29:R29" si="11">ROUND(IF(ISERROR(AVERAGE(C4:C27)),0,AVERAGE(C4:C27)),0)</f>
        <v>7</v>
      </c>
      <c r="D29" s="24">
        <f t="shared" si="11"/>
        <v>13</v>
      </c>
      <c r="E29" s="24">
        <f t="shared" si="11"/>
        <v>1</v>
      </c>
      <c r="F29" s="24">
        <f t="shared" si="11"/>
        <v>2</v>
      </c>
      <c r="G29" s="24">
        <f t="shared" si="11"/>
        <v>1</v>
      </c>
      <c r="H29" s="24">
        <f t="shared" si="11"/>
        <v>2</v>
      </c>
      <c r="I29" s="24">
        <f>ROUND(IF(ISERROR(AVERAGE(I4:I27)),0,AVERAGE(I4:I27)),0)</f>
        <v>0</v>
      </c>
      <c r="J29" s="24">
        <f t="shared" si="11"/>
        <v>0</v>
      </c>
      <c r="K29" s="24">
        <f t="shared" si="11"/>
        <v>0</v>
      </c>
      <c r="L29" s="24">
        <f t="shared" si="11"/>
        <v>0</v>
      </c>
      <c r="M29" s="24">
        <f t="shared" ref="M29:P29" si="12">ROUND(IF(ISERROR(AVERAGE(M4:M27)),0,AVERAGE(M4:M27)),0)</f>
        <v>0</v>
      </c>
      <c r="N29" s="24">
        <f t="shared" si="12"/>
        <v>0</v>
      </c>
      <c r="O29" s="24">
        <f>ROUND(IF(ISERROR(AVERAGE(O4:O27)),0,AVERAGE(O4:O27)),0)</f>
        <v>3</v>
      </c>
      <c r="P29" s="24">
        <f t="shared" si="12"/>
        <v>0</v>
      </c>
      <c r="Q29" s="24">
        <f t="shared" si="11"/>
        <v>0</v>
      </c>
      <c r="R29" s="24">
        <f t="shared" si="11"/>
        <v>0</v>
      </c>
      <c r="S29" s="31">
        <f>SUM(C29:R29)</f>
        <v>29</v>
      </c>
      <c r="T29" s="24">
        <f>ROUND(IF(ISERROR(AVERAGE(T4:T27)),0,AVERAGE(T4:T27)),0)</f>
        <v>0</v>
      </c>
      <c r="U29" s="24">
        <f>ROUND(IF(ISERROR(AVERAGE(U4:U27)),0,AVERAGE(U4:U27)),0)</f>
        <v>0</v>
      </c>
      <c r="V29" s="24">
        <f>ROUND(IF(ISERROR(AVERAGE(V4:V27)),0,AVERAGE(V4:V27)),0)</f>
        <v>0</v>
      </c>
      <c r="W29" s="24">
        <f>ROUND(IF(ISERROR(AVERAGE(W4:W27)),0,AVERAGE(W4:W27)),0)</f>
        <v>0</v>
      </c>
      <c r="X29" s="40">
        <f>ROUND(IF(ISERROR(AVERAGE(X4:X27)),0,AVERAGE(X4:X27)),0)</f>
        <v>0</v>
      </c>
      <c r="Z29" s="39">
        <f>ROUND(IF(ISERROR(AVERAGE(Z4:Z27)),0,AVERAGE(Z4:Z27)),0)</f>
        <v>0</v>
      </c>
      <c r="AA29" s="24">
        <f>ROUND(IF(ISERROR(AVERAGE(AA4:AA27)),0,AVERAGE(AA4:AA27)),0)</f>
        <v>0</v>
      </c>
      <c r="AB29" s="24"/>
      <c r="AC29" s="39">
        <f>ROUND(IF(ISERROR(AVERAGE(AC4:AC27)),0,AVERAGE(AC4:AC27)),0)</f>
        <v>0</v>
      </c>
      <c r="AD29" s="24">
        <f>ROUND(IF(ISERROR(AVERAGE(AD4:AD27)),0,AVERAGE(AD4:AD27)),0)</f>
        <v>0</v>
      </c>
      <c r="AE29" s="31">
        <f>SUM(AC29:AD29)</f>
        <v>0</v>
      </c>
      <c r="AG29" s="39">
        <f>ROUND(IF(ISERROR(AVERAGE(AG4:AG27)),0,AVERAGE(AG4:AG27)),0)</f>
        <v>68</v>
      </c>
      <c r="AH29" s="24">
        <f>ROUND(IF(ISERROR(AVERAGE(AH4:AH27)),0,AVERAGE(AH4:AH27)),0)</f>
        <v>19</v>
      </c>
      <c r="AI29" s="24">
        <f>ROUND(IF(ISERROR(AVERAGE(AI4:AI27)),0,AVERAGE(AI4:AI27)),0)</f>
        <v>135</v>
      </c>
      <c r="AJ29" s="40">
        <f>ROUND(IF(ISERROR(AVERAGE(AJ4:AJ27)),0,AVERAGE(AJ4:AJ27)),0)</f>
        <v>16</v>
      </c>
      <c r="AL29" s="39">
        <f>ROUND(IF(ISERROR(AVERAGE(AL4:AL27)),0,AVERAGE(AL4:AL27)),0)</f>
        <v>0</v>
      </c>
      <c r="AM29" s="24">
        <f>ROUND(IF(ISERROR(AVERAGE(AM4:AM27)),0,AVERAGE(AM4:AM27)),0)</f>
        <v>0</v>
      </c>
      <c r="AN29" s="31">
        <f>SUM(AL29:AM29)</f>
        <v>0</v>
      </c>
      <c r="AO29" s="24">
        <f>ROUND(IF(ISERROR(AVERAGE(AO4:AO27)),0,AVERAGE(AO4:AO27)),0)</f>
        <v>0</v>
      </c>
      <c r="AP29" s="24">
        <f>ROUND(IF(ISERROR(AVERAGE(AP4:AP27)),0,AVERAGE(AP4:AP27)),0)</f>
        <v>0</v>
      </c>
      <c r="AQ29" s="31">
        <f>SUM(AO29:AP29)</f>
        <v>0</v>
      </c>
      <c r="AR29" s="24">
        <f>ROUND(IF(ISERROR(AVERAGE(AR4:AR27)),0,AVERAGE(AR4:AR27)),0)</f>
        <v>0</v>
      </c>
      <c r="AS29" s="24">
        <f>ROUND(IF(ISERROR(AVERAGE(AS4:AS27)),0,AVERAGE(AS4:AS27)),0)</f>
        <v>0</v>
      </c>
      <c r="AT29" s="24">
        <f>ROUND(IF(ISERROR(AVERAGE(AT4:AT27)),0,AVERAGE(AT4:AT27)),0)</f>
        <v>0</v>
      </c>
      <c r="AU29" s="24">
        <f>ROUND(IF(ISERROR(AVERAGE(AU4:AU27)),0,AVERAGE(AU4:AU27)),0)</f>
        <v>0</v>
      </c>
      <c r="AV29" s="40">
        <f>ROUND(IF(ISERROR(AVERAGE(AV4:AV27)),0,AVERAGE(AV4:AV27)),0)</f>
        <v>0</v>
      </c>
      <c r="AX29" s="330"/>
      <c r="AY29" s="40"/>
      <c r="BA29" s="39">
        <f t="shared" ref="BA29:BM29" si="13">ROUND(IF(ISERROR(AVERAGE(BA4:BA27)),0,AVERAGE(BA4:BA27)),0)</f>
        <v>1446</v>
      </c>
      <c r="BB29" s="24">
        <f t="shared" si="13"/>
        <v>0</v>
      </c>
      <c r="BC29" s="24">
        <f t="shared" si="13"/>
        <v>0</v>
      </c>
      <c r="BD29" s="24">
        <f t="shared" ref="BD29:BL29" si="14">ROUND(IF(ISERROR(AVERAGE(BD4:BD27)),0,AVERAGE(BD4:BD27)),0)</f>
        <v>0</v>
      </c>
      <c r="BE29" s="24">
        <f t="shared" si="14"/>
        <v>0</v>
      </c>
      <c r="BF29" s="24">
        <f t="shared" si="14"/>
        <v>0</v>
      </c>
      <c r="BG29" s="24">
        <f t="shared" si="14"/>
        <v>0</v>
      </c>
      <c r="BH29" s="31"/>
      <c r="BI29" s="24">
        <f t="shared" si="14"/>
        <v>0</v>
      </c>
      <c r="BJ29" s="340"/>
      <c r="BK29" s="340"/>
      <c r="BL29" s="24">
        <f t="shared" si="14"/>
        <v>0</v>
      </c>
      <c r="BM29" s="40">
        <f t="shared" si="13"/>
        <v>3613</v>
      </c>
      <c r="BO29" s="39">
        <f>ROUND(IF(ISERROR(AVERAGE(BO4:BO27)),0,AVERAGE(BO4:BO27)),0)</f>
        <v>0</v>
      </c>
      <c r="BP29" s="40">
        <f>ROUND(IF(ISERROR(AVERAGE(BP4:BP27)),0,AVERAGE(BP4:BP27)),0)</f>
        <v>0</v>
      </c>
      <c r="BR29" s="65" t="s">
        <v>54</v>
      </c>
      <c r="BS29" s="19"/>
      <c r="BT29" s="14"/>
      <c r="BV29" s="39">
        <f>ROUND(IF(ISERROR(AVERAGE(BV4:BV27)),0,AVERAGE(BV4:BV27)),0)</f>
        <v>0</v>
      </c>
      <c r="BW29" s="24">
        <f>ROUND(IF(ISERROR(AVERAGE(BW4:BW27)),0,AVERAGE(BW4:BW27)),0)</f>
        <v>0</v>
      </c>
      <c r="BX29" s="24">
        <f>ROUND(IF(ISERROR(AVERAGE(BX4:BX27)),0,AVERAGE(BX4:BX27)),0)</f>
        <v>0</v>
      </c>
      <c r="BY29" s="24">
        <f t="shared" ref="BY29" si="15">ROUND(IF(ISERROR(AVERAGE(BY4:BY27)),0,AVERAGE(BY4:BY27)),0)</f>
        <v>0</v>
      </c>
      <c r="BZ29" s="24">
        <f t="shared" ref="BZ29:DU29" si="16">ROUND(IF(ISERROR(AVERAGE(BZ4:BZ27)),0,AVERAGE(BZ4:BZ27)),0)</f>
        <v>0</v>
      </c>
      <c r="CA29" s="24">
        <f t="shared" si="16"/>
        <v>0</v>
      </c>
      <c r="CB29" s="24">
        <f t="shared" si="16"/>
        <v>0</v>
      </c>
      <c r="CC29" s="24">
        <f t="shared" si="16"/>
        <v>0</v>
      </c>
      <c r="CD29" s="24">
        <f t="shared" si="16"/>
        <v>0</v>
      </c>
      <c r="CE29" s="24">
        <f t="shared" si="16"/>
        <v>0</v>
      </c>
      <c r="CF29" s="24">
        <f t="shared" si="16"/>
        <v>0</v>
      </c>
      <c r="CG29" s="24">
        <f t="shared" si="16"/>
        <v>0</v>
      </c>
      <c r="CH29" s="24">
        <f t="shared" si="16"/>
        <v>0</v>
      </c>
      <c r="CI29" s="24">
        <f t="shared" si="16"/>
        <v>0</v>
      </c>
      <c r="CJ29" s="24">
        <f t="shared" si="16"/>
        <v>0</v>
      </c>
      <c r="CK29" s="24">
        <f t="shared" si="16"/>
        <v>0</v>
      </c>
      <c r="CL29" s="24">
        <f t="shared" si="16"/>
        <v>0</v>
      </c>
      <c r="CM29" s="24">
        <f t="shared" si="16"/>
        <v>0</v>
      </c>
      <c r="CN29" s="24">
        <f t="shared" si="16"/>
        <v>0</v>
      </c>
      <c r="CO29" s="24">
        <f t="shared" si="16"/>
        <v>0</v>
      </c>
      <c r="CP29" s="24">
        <f t="shared" si="16"/>
        <v>0</v>
      </c>
      <c r="CQ29" s="24">
        <f t="shared" si="16"/>
        <v>0</v>
      </c>
      <c r="CR29" s="24">
        <f t="shared" si="16"/>
        <v>0</v>
      </c>
      <c r="CS29" s="24">
        <f t="shared" si="16"/>
        <v>0</v>
      </c>
      <c r="CT29" s="24">
        <f t="shared" si="16"/>
        <v>0</v>
      </c>
      <c r="CU29" s="24">
        <f t="shared" si="16"/>
        <v>0</v>
      </c>
      <c r="CV29" s="24">
        <f t="shared" si="16"/>
        <v>0</v>
      </c>
      <c r="CW29" s="24">
        <f t="shared" si="16"/>
        <v>0</v>
      </c>
      <c r="CX29" s="24">
        <f t="shared" si="16"/>
        <v>0</v>
      </c>
      <c r="CY29" s="24">
        <f t="shared" si="16"/>
        <v>0</v>
      </c>
      <c r="CZ29" s="24">
        <f t="shared" si="16"/>
        <v>0</v>
      </c>
      <c r="DA29" s="24">
        <f t="shared" si="16"/>
        <v>0</v>
      </c>
      <c r="DB29" s="24">
        <f t="shared" si="16"/>
        <v>0</v>
      </c>
      <c r="DC29" s="24">
        <f t="shared" si="16"/>
        <v>0</v>
      </c>
      <c r="DD29" s="24">
        <f t="shared" si="16"/>
        <v>0</v>
      </c>
      <c r="DE29" s="24">
        <f t="shared" si="16"/>
        <v>0</v>
      </c>
      <c r="DF29" s="24">
        <f t="shared" si="16"/>
        <v>0</v>
      </c>
      <c r="DG29" s="24">
        <f t="shared" si="16"/>
        <v>0</v>
      </c>
      <c r="DH29" s="24">
        <f t="shared" si="16"/>
        <v>0</v>
      </c>
      <c r="DI29" s="24">
        <f t="shared" si="16"/>
        <v>0</v>
      </c>
      <c r="DJ29" s="24">
        <f t="shared" si="16"/>
        <v>0</v>
      </c>
      <c r="DK29" s="24">
        <f t="shared" si="16"/>
        <v>0</v>
      </c>
      <c r="DL29" s="24">
        <f t="shared" si="16"/>
        <v>0</v>
      </c>
      <c r="DM29" s="24">
        <f t="shared" si="16"/>
        <v>0</v>
      </c>
      <c r="DN29" s="24">
        <f t="shared" si="16"/>
        <v>0</v>
      </c>
      <c r="DO29" s="24">
        <f t="shared" si="16"/>
        <v>0</v>
      </c>
      <c r="DP29" s="24">
        <f t="shared" si="16"/>
        <v>0</v>
      </c>
      <c r="DQ29" s="24">
        <f t="shared" si="16"/>
        <v>0</v>
      </c>
      <c r="DR29" s="24">
        <f t="shared" si="16"/>
        <v>0</v>
      </c>
      <c r="DS29" s="24">
        <f t="shared" si="16"/>
        <v>0</v>
      </c>
      <c r="DT29" s="24">
        <f t="shared" si="16"/>
        <v>0</v>
      </c>
      <c r="DU29" s="24">
        <f t="shared" si="16"/>
        <v>0</v>
      </c>
      <c r="DV29" s="18"/>
      <c r="DW29" s="48"/>
    </row>
    <row r="30" spans="1:127" customFormat="1">
      <c r="A30" s="210" t="s">
        <v>55</v>
      </c>
      <c r="B30" s="211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0">
        <f>MEDIAN(S4:S27)</f>
        <v>23.5</v>
      </c>
      <c r="T30" s="10"/>
      <c r="U30" s="10"/>
      <c r="V30" s="10"/>
      <c r="W30" s="10"/>
      <c r="X30" s="5"/>
      <c r="Y30" s="10"/>
      <c r="Z30" s="8"/>
      <c r="AA30" s="10" t="str">
        <f>IF(ISERROR(MEDIAN(AA4:AA27)),"",MEDIAN(AA4:AA27))</f>
        <v/>
      </c>
      <c r="AB30" s="10"/>
      <c r="AC30" s="8"/>
      <c r="AD30" s="10"/>
      <c r="AE30" s="30"/>
      <c r="AF30" s="10"/>
      <c r="AG30" s="8"/>
      <c r="AH30" s="10"/>
      <c r="AI30" s="10">
        <f>IF(ISERROR(MEDIAN(AI4:AI27)),"",MEDIAN(AI4:AI27))</f>
        <v>130</v>
      </c>
      <c r="AJ30" s="5">
        <f>IF(ISERROR(MEDIAN(AJ4:AJ27)),"",MEDIAN(AJ4:AJ27))</f>
        <v>16</v>
      </c>
      <c r="AK30" s="10"/>
      <c r="AL30" s="8"/>
      <c r="AM30" s="10"/>
      <c r="AN30" s="30"/>
      <c r="AO30" s="10"/>
      <c r="AP30" s="10"/>
      <c r="AQ30" s="30"/>
      <c r="AR30" s="10"/>
      <c r="AS30" s="10"/>
      <c r="AT30" s="10"/>
      <c r="AU30" s="10"/>
      <c r="AV30" s="5"/>
      <c r="AW30" s="10"/>
      <c r="AX30" s="326"/>
      <c r="AY30" s="5"/>
      <c r="AZ30" s="10"/>
      <c r="BA30" s="8">
        <f>IF(ISERROR(MEDIAN(BA4:BA27)),"",MEDIAN(BA4:BA27))</f>
        <v>1446</v>
      </c>
      <c r="BB30" s="10"/>
      <c r="BC30" s="10"/>
      <c r="BD30" s="10"/>
      <c r="BE30" s="10"/>
      <c r="BF30" s="10"/>
      <c r="BG30" s="10"/>
      <c r="BH30" s="30"/>
      <c r="BI30" s="10"/>
      <c r="BJ30" s="338"/>
      <c r="BK30" s="338"/>
      <c r="BL30" s="303"/>
      <c r="BM30" s="5"/>
      <c r="BN30" s="10"/>
      <c r="BO30" s="8"/>
      <c r="BP30" s="5"/>
      <c r="BQ30" s="10"/>
      <c r="BR30" s="65"/>
      <c r="BS30" s="19"/>
      <c r="BT30" s="14"/>
      <c r="BU30" s="10"/>
      <c r="BV30" s="8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5"/>
      <c r="DW30" s="21"/>
    </row>
    <row r="31" spans="1:127" customFormat="1" ht="12" thickBot="1">
      <c r="A31" s="214" t="s">
        <v>56</v>
      </c>
      <c r="B31" s="195"/>
      <c r="C31" s="4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32">
        <f>MODE(S4:S27)</f>
        <v>24</v>
      </c>
      <c r="T31" s="22"/>
      <c r="U31" s="22"/>
      <c r="V31" s="22"/>
      <c r="W31" s="22"/>
      <c r="X31" s="42"/>
      <c r="Y31" s="22"/>
      <c r="Z31" s="41"/>
      <c r="AA31" s="22"/>
      <c r="AB31" s="22"/>
      <c r="AC31" s="41"/>
      <c r="AD31" s="22"/>
      <c r="AE31" s="32"/>
      <c r="AF31" s="22"/>
      <c r="AG31" s="41"/>
      <c r="AH31" s="22"/>
      <c r="AI31" s="22">
        <f>IF(ISERROR(MODE(AI4:AI27)),"",MODE(AI4:AI27))</f>
        <v>132</v>
      </c>
      <c r="AJ31" s="42">
        <f>IF(ISERROR(MODE(AJ4:AJ27)),"",MODE(AJ4:AJ27))</f>
        <v>16</v>
      </c>
      <c r="AK31" s="22"/>
      <c r="AL31" s="41"/>
      <c r="AM31" s="22"/>
      <c r="AN31" s="32"/>
      <c r="AO31" s="22"/>
      <c r="AP31" s="22"/>
      <c r="AQ31" s="32"/>
      <c r="AR31" s="22"/>
      <c r="AS31" s="22"/>
      <c r="AT31" s="22"/>
      <c r="AU31" s="22"/>
      <c r="AV31" s="42"/>
      <c r="AW31" s="22"/>
      <c r="AX31" s="331"/>
      <c r="AY31" s="42"/>
      <c r="AZ31" s="22"/>
      <c r="BA31" s="41"/>
      <c r="BB31" s="22"/>
      <c r="BC31" s="22"/>
      <c r="BD31" s="22"/>
      <c r="BE31" s="22"/>
      <c r="BF31" s="22"/>
      <c r="BG31" s="22"/>
      <c r="BH31" s="32"/>
      <c r="BI31" s="22"/>
      <c r="BJ31" s="341"/>
      <c r="BK31" s="341"/>
      <c r="BL31" s="306"/>
      <c r="BM31" s="42"/>
      <c r="BN31" s="22"/>
      <c r="BO31" s="41"/>
      <c r="BP31" s="42"/>
      <c r="BQ31" s="22"/>
      <c r="BR31" s="66"/>
      <c r="BS31" s="51"/>
      <c r="BT31" s="67"/>
      <c r="BU31" s="22"/>
      <c r="BV31" s="41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42"/>
      <c r="DW31" s="23"/>
    </row>
    <row r="32" spans="1:127" customFormat="1" ht="12" thickBot="1">
      <c r="A32" s="194"/>
      <c r="B32" s="194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30"/>
      <c r="T32" s="10"/>
      <c r="U32" s="10"/>
      <c r="V32" s="10"/>
      <c r="W32" s="10"/>
      <c r="X32" s="5"/>
      <c r="Z32" s="8"/>
      <c r="AA32" s="10"/>
      <c r="AB32" s="10"/>
      <c r="AC32" s="8"/>
      <c r="AD32" s="10"/>
      <c r="AE32" s="30"/>
      <c r="AG32" s="8"/>
      <c r="AH32" s="10"/>
      <c r="AI32" s="10"/>
      <c r="AJ32" s="5"/>
      <c r="AL32" s="8"/>
      <c r="AM32" s="10"/>
      <c r="AN32" s="30"/>
      <c r="AO32" s="10"/>
      <c r="AP32" s="10"/>
      <c r="AQ32" s="30"/>
      <c r="AR32" s="10"/>
      <c r="AS32" s="10"/>
      <c r="AT32" s="10"/>
      <c r="AU32" s="10"/>
      <c r="AV32" s="5"/>
      <c r="AX32" s="326"/>
      <c r="AY32" s="5"/>
      <c r="AZ32" s="324"/>
      <c r="BA32" s="8"/>
      <c r="BB32" s="10"/>
      <c r="BC32" s="10"/>
      <c r="BD32" s="10"/>
      <c r="BE32" s="10"/>
      <c r="BF32" s="10"/>
      <c r="BG32" s="10"/>
      <c r="BH32" s="30"/>
      <c r="BI32" s="10"/>
      <c r="BJ32" s="338"/>
      <c r="BK32" s="338"/>
      <c r="BL32" s="303"/>
      <c r="BM32" s="5"/>
      <c r="BO32" s="8"/>
      <c r="BP32" s="5"/>
      <c r="BR32" s="65"/>
      <c r="BS32" s="19"/>
      <c r="BT32" s="14"/>
      <c r="BV32" s="8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5"/>
    </row>
    <row r="33" spans="1:127" customFormat="1">
      <c r="A33" s="208">
        <v>32325</v>
      </c>
      <c r="B33" s="209"/>
      <c r="C33" s="36">
        <v>10</v>
      </c>
      <c r="D33" s="9">
        <v>11</v>
      </c>
      <c r="E33" s="9">
        <v>6</v>
      </c>
      <c r="F33" s="9">
        <v>3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10</v>
      </c>
      <c r="P33" s="9">
        <v>0</v>
      </c>
      <c r="Q33" s="9">
        <v>0</v>
      </c>
      <c r="R33" s="9">
        <v>0</v>
      </c>
      <c r="S33" s="33">
        <f t="shared" ref="S33:S56" si="17">SUM(C33:R33)</f>
        <v>40</v>
      </c>
      <c r="T33" s="9"/>
      <c r="U33" s="9"/>
      <c r="V33" s="9"/>
      <c r="W33" s="9"/>
      <c r="X33" s="37"/>
      <c r="Y33" s="9"/>
      <c r="Z33" s="36"/>
      <c r="AA33" s="9"/>
      <c r="AB33" s="9"/>
      <c r="AC33" s="36"/>
      <c r="AD33" s="9"/>
      <c r="AE33" s="33"/>
      <c r="AF33" s="9"/>
      <c r="AG33" s="36">
        <v>90</v>
      </c>
      <c r="AH33" s="9">
        <v>25</v>
      </c>
      <c r="AI33" s="9">
        <v>138</v>
      </c>
      <c r="AJ33" s="37">
        <v>16</v>
      </c>
      <c r="AK33" s="9"/>
      <c r="AL33" s="36"/>
      <c r="AM33" s="9"/>
      <c r="AN33" s="33"/>
      <c r="AO33" s="9"/>
      <c r="AP33" s="9"/>
      <c r="AQ33" s="33"/>
      <c r="AR33" s="92"/>
      <c r="AS33" s="92"/>
      <c r="AT33" s="92"/>
      <c r="AU33" s="92"/>
      <c r="AV33" s="93"/>
      <c r="AW33" s="9"/>
      <c r="AX33" s="325"/>
      <c r="AY33" s="37"/>
      <c r="AZ33" s="9"/>
      <c r="BA33" s="36"/>
      <c r="BB33" s="9"/>
      <c r="BC33" s="9"/>
      <c r="BD33" s="9"/>
      <c r="BE33" s="9"/>
      <c r="BF33" s="9"/>
      <c r="BG33" s="9"/>
      <c r="BH33" s="350"/>
      <c r="BI33" s="9"/>
      <c r="BJ33" s="337"/>
      <c r="BK33" s="337"/>
      <c r="BL33" s="302"/>
      <c r="BM33" s="37"/>
      <c r="BN33" s="9"/>
      <c r="BO33" s="36"/>
      <c r="BP33" s="37"/>
      <c r="BQ33" s="9"/>
      <c r="BR33" s="74">
        <v>1989</v>
      </c>
      <c r="BS33" s="75">
        <v>1988</v>
      </c>
      <c r="BT33" s="13">
        <v>13</v>
      </c>
      <c r="BU33" s="9"/>
      <c r="BV33" s="36"/>
      <c r="BW33" s="9"/>
      <c r="BX33" s="9"/>
      <c r="BY33" s="9"/>
      <c r="BZ33" s="9"/>
      <c r="CA33" s="9"/>
      <c r="CB33" s="9"/>
      <c r="CC33" s="223"/>
      <c r="CD33" s="9"/>
      <c r="CE33" s="220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220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44">
        <f t="shared" ref="DV33:DV57" si="18">SUM(BV33:DU33)</f>
        <v>0</v>
      </c>
      <c r="DW33" s="13" t="str">
        <f t="shared" ref="DW33:DW56" si="19">IF(DV33=S33,"","PROB")</f>
        <v>PROB</v>
      </c>
    </row>
    <row r="34" spans="1:127" customFormat="1">
      <c r="A34" s="210">
        <v>32339</v>
      </c>
      <c r="B34" s="211"/>
      <c r="C34" s="8">
        <v>7</v>
      </c>
      <c r="D34" s="10">
        <v>16</v>
      </c>
      <c r="E34" s="10">
        <v>3</v>
      </c>
      <c r="F34" s="10">
        <v>0</v>
      </c>
      <c r="G34" s="10">
        <v>1</v>
      </c>
      <c r="H34" s="10">
        <v>2</v>
      </c>
      <c r="I34" s="10">
        <v>0</v>
      </c>
      <c r="J34" s="10">
        <v>0</v>
      </c>
      <c r="K34" s="59">
        <v>0</v>
      </c>
      <c r="L34" s="59">
        <v>0</v>
      </c>
      <c r="M34" s="59">
        <v>0</v>
      </c>
      <c r="N34" s="59">
        <v>0</v>
      </c>
      <c r="O34" s="10">
        <v>0</v>
      </c>
      <c r="P34" s="59">
        <v>0</v>
      </c>
      <c r="Q34" s="10">
        <v>0</v>
      </c>
      <c r="R34" s="10">
        <v>1</v>
      </c>
      <c r="S34" s="35">
        <f t="shared" si="17"/>
        <v>30</v>
      </c>
      <c r="T34" s="10"/>
      <c r="U34" s="10"/>
      <c r="V34" s="10"/>
      <c r="W34" s="10"/>
      <c r="X34" s="5"/>
      <c r="Y34" s="10"/>
      <c r="Z34" s="8"/>
      <c r="AA34" s="10"/>
      <c r="AB34" s="10"/>
      <c r="AC34" s="8"/>
      <c r="AD34" s="10"/>
      <c r="AE34" s="35"/>
      <c r="AF34" s="10"/>
      <c r="AG34" s="8">
        <v>67</v>
      </c>
      <c r="AH34" s="10">
        <v>9</v>
      </c>
      <c r="AI34" s="10">
        <v>136</v>
      </c>
      <c r="AJ34" s="5">
        <v>24</v>
      </c>
      <c r="AK34" s="10"/>
      <c r="AL34" s="8"/>
      <c r="AM34" s="10"/>
      <c r="AN34" s="35"/>
      <c r="AO34" s="10"/>
      <c r="AP34" s="10"/>
      <c r="AQ34" s="35"/>
      <c r="AR34" s="59"/>
      <c r="AS34" s="59"/>
      <c r="AT34" s="59"/>
      <c r="AU34" s="59"/>
      <c r="AV34" s="62"/>
      <c r="AW34" s="10"/>
      <c r="AX34" s="326"/>
      <c r="AY34" s="5"/>
      <c r="AZ34" s="10"/>
      <c r="BA34" s="8"/>
      <c r="BB34" s="10"/>
      <c r="BC34" s="10"/>
      <c r="BD34" s="10"/>
      <c r="BE34" s="10"/>
      <c r="BF34" s="10"/>
      <c r="BG34" s="10"/>
      <c r="BH34" s="30"/>
      <c r="BI34" s="10"/>
      <c r="BJ34" s="338"/>
      <c r="BK34" s="338"/>
      <c r="BL34" s="303"/>
      <c r="BM34" s="5"/>
      <c r="BN34" s="10"/>
      <c r="BO34" s="8"/>
      <c r="BP34" s="5"/>
      <c r="BQ34" s="10"/>
      <c r="BR34" s="29">
        <v>1989</v>
      </c>
      <c r="BS34" s="64">
        <v>1988</v>
      </c>
      <c r="BT34" s="14">
        <v>14</v>
      </c>
      <c r="BU34" s="10"/>
      <c r="BV34" s="8"/>
      <c r="BW34" s="10"/>
      <c r="BX34" s="10"/>
      <c r="BY34" s="10"/>
      <c r="BZ34" s="10"/>
      <c r="CA34" s="10"/>
      <c r="CB34" s="10"/>
      <c r="CC34" s="221"/>
      <c r="CD34" s="10"/>
      <c r="CE34" s="317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317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38">
        <f t="shared" si="18"/>
        <v>0</v>
      </c>
      <c r="DW34" s="14" t="str">
        <f t="shared" si="19"/>
        <v>PROB</v>
      </c>
    </row>
    <row r="35" spans="1:127" customFormat="1">
      <c r="A35" s="210">
        <v>32356</v>
      </c>
      <c r="B35" s="211"/>
      <c r="C35" s="8">
        <v>3</v>
      </c>
      <c r="D35" s="10">
        <v>8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59">
        <v>0</v>
      </c>
      <c r="L35" s="59">
        <v>0</v>
      </c>
      <c r="M35" s="59">
        <v>0</v>
      </c>
      <c r="N35" s="59">
        <v>0</v>
      </c>
      <c r="O35" s="10">
        <v>3</v>
      </c>
      <c r="P35" s="59">
        <v>0</v>
      </c>
      <c r="Q35" s="10">
        <v>0</v>
      </c>
      <c r="R35" s="10">
        <v>1</v>
      </c>
      <c r="S35" s="35">
        <f t="shared" si="17"/>
        <v>16</v>
      </c>
      <c r="T35" s="10"/>
      <c r="U35" s="10"/>
      <c r="V35" s="10"/>
      <c r="W35" s="10"/>
      <c r="X35" s="5"/>
      <c r="Y35" s="10"/>
      <c r="Z35" s="8"/>
      <c r="AA35" s="10"/>
      <c r="AB35" s="10"/>
      <c r="AC35" s="8"/>
      <c r="AD35" s="10"/>
      <c r="AE35" s="35"/>
      <c r="AF35" s="10"/>
      <c r="AG35" s="8">
        <v>32</v>
      </c>
      <c r="AH35" s="10">
        <v>30</v>
      </c>
      <c r="AI35" s="10">
        <v>126</v>
      </c>
      <c r="AJ35" s="5">
        <v>12</v>
      </c>
      <c r="AK35" s="10"/>
      <c r="AL35" s="8"/>
      <c r="AM35" s="10"/>
      <c r="AN35" s="35"/>
      <c r="AO35" s="10"/>
      <c r="AP35" s="10"/>
      <c r="AQ35" s="35"/>
      <c r="AR35" s="59"/>
      <c r="AS35" s="59"/>
      <c r="AT35" s="59"/>
      <c r="AU35" s="59"/>
      <c r="AV35" s="62"/>
      <c r="AW35" s="10"/>
      <c r="AX35" s="326"/>
      <c r="AY35" s="5"/>
      <c r="AZ35" s="10"/>
      <c r="BA35" s="8"/>
      <c r="BB35" s="10"/>
      <c r="BC35" s="10"/>
      <c r="BD35" s="10"/>
      <c r="BE35" s="10"/>
      <c r="BF35" s="10"/>
      <c r="BG35" s="10"/>
      <c r="BH35" s="30"/>
      <c r="BI35" s="10"/>
      <c r="BJ35" s="338"/>
      <c r="BK35" s="338"/>
      <c r="BL35" s="303"/>
      <c r="BM35" s="5"/>
      <c r="BN35" s="10"/>
      <c r="BO35" s="8"/>
      <c r="BP35" s="5"/>
      <c r="BQ35" s="10"/>
      <c r="BR35" s="29">
        <v>1989</v>
      </c>
      <c r="BS35" s="64">
        <v>1988</v>
      </c>
      <c r="BT35" s="14">
        <v>15</v>
      </c>
      <c r="BU35" s="10"/>
      <c r="BV35" s="8"/>
      <c r="BW35" s="10"/>
      <c r="BX35" s="10"/>
      <c r="BY35" s="10"/>
      <c r="BZ35" s="10"/>
      <c r="CA35" s="10"/>
      <c r="CB35" s="10"/>
      <c r="CC35" s="221"/>
      <c r="CD35" s="10"/>
      <c r="CE35" s="317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317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38">
        <f t="shared" si="18"/>
        <v>0</v>
      </c>
      <c r="DW35" s="14" t="str">
        <f t="shared" si="19"/>
        <v>PROB</v>
      </c>
    </row>
    <row r="36" spans="1:127" customFormat="1">
      <c r="A36" s="210">
        <v>32370</v>
      </c>
      <c r="B36" s="211"/>
      <c r="C36" s="8">
        <v>4</v>
      </c>
      <c r="D36" s="10">
        <v>17</v>
      </c>
      <c r="E36" s="10">
        <v>3</v>
      </c>
      <c r="F36" s="10">
        <v>3</v>
      </c>
      <c r="G36" s="10">
        <v>2</v>
      </c>
      <c r="H36" s="10">
        <v>1</v>
      </c>
      <c r="I36" s="10">
        <v>0</v>
      </c>
      <c r="J36" s="10">
        <v>0</v>
      </c>
      <c r="K36" s="59">
        <v>0</v>
      </c>
      <c r="L36" s="59">
        <v>0</v>
      </c>
      <c r="M36" s="59">
        <v>0</v>
      </c>
      <c r="N36" s="59">
        <v>0</v>
      </c>
      <c r="O36" s="10">
        <v>2</v>
      </c>
      <c r="P36" s="59">
        <v>0</v>
      </c>
      <c r="Q36" s="10">
        <v>0</v>
      </c>
      <c r="R36" s="10">
        <v>0</v>
      </c>
      <c r="S36" s="35">
        <f t="shared" si="17"/>
        <v>32</v>
      </c>
      <c r="T36" s="10"/>
      <c r="U36" s="10"/>
      <c r="V36" s="10"/>
      <c r="W36" s="10"/>
      <c r="X36" s="5"/>
      <c r="Y36" s="10"/>
      <c r="Z36" s="8"/>
      <c r="AA36" s="10"/>
      <c r="AB36" s="10"/>
      <c r="AC36" s="8"/>
      <c r="AD36" s="10"/>
      <c r="AE36" s="35"/>
      <c r="AF36" s="10"/>
      <c r="AG36" s="8">
        <v>90</v>
      </c>
      <c r="AH36" s="59">
        <v>10</v>
      </c>
      <c r="AI36" s="10">
        <v>138</v>
      </c>
      <c r="AJ36" s="5">
        <v>16</v>
      </c>
      <c r="AK36" s="10"/>
      <c r="AL36" s="8"/>
      <c r="AM36" s="10"/>
      <c r="AN36" s="35"/>
      <c r="AO36" s="10"/>
      <c r="AP36" s="10"/>
      <c r="AQ36" s="35"/>
      <c r="AR36" s="59"/>
      <c r="AS36" s="59"/>
      <c r="AT36" s="59"/>
      <c r="AU36" s="59"/>
      <c r="AV36" s="62"/>
      <c r="AW36" s="10"/>
      <c r="AX36" s="326"/>
      <c r="AY36" s="5"/>
      <c r="AZ36" s="10"/>
      <c r="BA36" s="8"/>
      <c r="BB36" s="10"/>
      <c r="BC36" s="10"/>
      <c r="BD36" s="10"/>
      <c r="BE36" s="10"/>
      <c r="BF36" s="10"/>
      <c r="BG36" s="10"/>
      <c r="BH36" s="30"/>
      <c r="BI36" s="10"/>
      <c r="BJ36" s="338"/>
      <c r="BK36" s="338"/>
      <c r="BL36" s="303"/>
      <c r="BM36" s="5"/>
      <c r="BN36" s="10"/>
      <c r="BO36" s="8"/>
      <c r="BP36" s="5"/>
      <c r="BQ36" s="10"/>
      <c r="BR36" s="29">
        <v>1989</v>
      </c>
      <c r="BS36" s="64">
        <v>1988</v>
      </c>
      <c r="BT36" s="14">
        <v>16</v>
      </c>
      <c r="BU36" s="10"/>
      <c r="BV36" s="8"/>
      <c r="BW36" s="10"/>
      <c r="BX36" s="10"/>
      <c r="BY36" s="10"/>
      <c r="BZ36" s="10"/>
      <c r="CA36" s="10"/>
      <c r="CB36" s="10"/>
      <c r="CC36" s="221"/>
      <c r="CD36" s="10"/>
      <c r="CE36" s="317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317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38">
        <f t="shared" si="18"/>
        <v>0</v>
      </c>
      <c r="DW36" s="14" t="str">
        <f t="shared" si="19"/>
        <v>PROB</v>
      </c>
    </row>
    <row r="37" spans="1:127" customFormat="1">
      <c r="A37" s="210">
        <v>32387</v>
      </c>
      <c r="B37" s="211"/>
      <c r="C37" s="8">
        <v>4</v>
      </c>
      <c r="D37" s="10">
        <v>17</v>
      </c>
      <c r="E37" s="10">
        <v>0</v>
      </c>
      <c r="F37" s="10">
        <v>0</v>
      </c>
      <c r="G37" s="10">
        <v>1</v>
      </c>
      <c r="H37" s="10">
        <v>4</v>
      </c>
      <c r="I37" s="10">
        <v>0</v>
      </c>
      <c r="J37" s="10">
        <v>0</v>
      </c>
      <c r="K37" s="59">
        <v>0</v>
      </c>
      <c r="L37" s="59">
        <v>0</v>
      </c>
      <c r="M37" s="59">
        <v>0</v>
      </c>
      <c r="N37" s="59">
        <v>0</v>
      </c>
      <c r="O37" s="10">
        <v>9</v>
      </c>
      <c r="P37" s="59">
        <v>0</v>
      </c>
      <c r="Q37" s="10">
        <v>0</v>
      </c>
      <c r="R37" s="10">
        <v>0</v>
      </c>
      <c r="S37" s="35">
        <f t="shared" si="17"/>
        <v>35</v>
      </c>
      <c r="T37" s="10"/>
      <c r="U37" s="10"/>
      <c r="V37" s="10"/>
      <c r="W37" s="10"/>
      <c r="X37" s="5"/>
      <c r="Y37" s="10"/>
      <c r="Z37" s="8"/>
      <c r="AA37" s="10"/>
      <c r="AB37" s="10"/>
      <c r="AC37" s="8"/>
      <c r="AD37" s="10"/>
      <c r="AE37" s="35"/>
      <c r="AF37" s="10"/>
      <c r="AG37" s="8">
        <v>60</v>
      </c>
      <c r="AH37" s="59">
        <v>34</v>
      </c>
      <c r="AI37" s="10">
        <v>136</v>
      </c>
      <c r="AJ37" s="5">
        <v>16</v>
      </c>
      <c r="AK37" s="10"/>
      <c r="AL37" s="8"/>
      <c r="AM37" s="10"/>
      <c r="AN37" s="35"/>
      <c r="AO37" s="10"/>
      <c r="AP37" s="10"/>
      <c r="AQ37" s="35"/>
      <c r="AR37" s="59"/>
      <c r="AS37" s="59"/>
      <c r="AT37" s="59"/>
      <c r="AU37" s="59"/>
      <c r="AV37" s="62"/>
      <c r="AW37" s="10"/>
      <c r="AX37" s="326"/>
      <c r="AY37" s="5"/>
      <c r="AZ37" s="10"/>
      <c r="BA37" s="8"/>
      <c r="BB37" s="10"/>
      <c r="BC37" s="10"/>
      <c r="BD37" s="10"/>
      <c r="BE37" s="10"/>
      <c r="BF37" s="10"/>
      <c r="BG37" s="10"/>
      <c r="BH37" s="30"/>
      <c r="BI37" s="10"/>
      <c r="BJ37" s="338"/>
      <c r="BK37" s="338"/>
      <c r="BL37" s="303"/>
      <c r="BM37" s="5"/>
      <c r="BN37" s="10"/>
      <c r="BO37" s="8"/>
      <c r="BP37" s="5"/>
      <c r="BQ37" s="10"/>
      <c r="BR37" s="29">
        <v>1989</v>
      </c>
      <c r="BS37" s="64">
        <v>1988</v>
      </c>
      <c r="BT37" s="14">
        <v>17</v>
      </c>
      <c r="BU37" s="10"/>
      <c r="BV37" s="8"/>
      <c r="BW37" s="10"/>
      <c r="BX37" s="10"/>
      <c r="BY37" s="10"/>
      <c r="BZ37" s="10"/>
      <c r="CA37" s="10"/>
      <c r="CB37" s="10"/>
      <c r="CC37" s="221"/>
      <c r="CD37" s="10"/>
      <c r="CE37" s="317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317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38">
        <f t="shared" si="18"/>
        <v>0</v>
      </c>
      <c r="DW37" s="14" t="str">
        <f t="shared" si="19"/>
        <v>PROB</v>
      </c>
    </row>
    <row r="38" spans="1:127" customFormat="1">
      <c r="A38" s="210">
        <v>32401</v>
      </c>
      <c r="B38" s="211"/>
      <c r="C38" s="8">
        <v>6</v>
      </c>
      <c r="D38" s="10">
        <v>19</v>
      </c>
      <c r="E38" s="10">
        <v>2</v>
      </c>
      <c r="F38" s="10">
        <v>1</v>
      </c>
      <c r="G38" s="10">
        <v>2</v>
      </c>
      <c r="H38" s="10">
        <v>2</v>
      </c>
      <c r="I38" s="10">
        <v>0</v>
      </c>
      <c r="J38" s="10">
        <v>0</v>
      </c>
      <c r="K38" s="59">
        <v>0</v>
      </c>
      <c r="L38" s="59">
        <v>0</v>
      </c>
      <c r="M38" s="59">
        <v>0</v>
      </c>
      <c r="N38" s="59">
        <v>0</v>
      </c>
      <c r="O38" s="10">
        <v>4</v>
      </c>
      <c r="P38" s="59">
        <v>0</v>
      </c>
      <c r="Q38" s="10">
        <v>0</v>
      </c>
      <c r="R38" s="10">
        <v>0</v>
      </c>
      <c r="S38" s="35">
        <f t="shared" si="17"/>
        <v>36</v>
      </c>
      <c r="T38" s="10"/>
      <c r="U38" s="10"/>
      <c r="V38" s="10"/>
      <c r="W38" s="10"/>
      <c r="X38" s="5"/>
      <c r="Y38" s="10"/>
      <c r="Z38" s="8"/>
      <c r="AA38" s="10"/>
      <c r="AB38" s="10"/>
      <c r="AC38" s="8"/>
      <c r="AD38" s="10"/>
      <c r="AE38" s="35"/>
      <c r="AF38" s="10"/>
      <c r="AG38" s="8">
        <v>80</v>
      </c>
      <c r="AH38" s="59">
        <v>11</v>
      </c>
      <c r="AI38" s="10">
        <v>144</v>
      </c>
      <c r="AJ38" s="5">
        <v>16</v>
      </c>
      <c r="AK38" s="10"/>
      <c r="AL38" s="8"/>
      <c r="AM38" s="10"/>
      <c r="AN38" s="35"/>
      <c r="AO38" s="10"/>
      <c r="AP38" s="10"/>
      <c r="AQ38" s="35"/>
      <c r="AR38" s="59"/>
      <c r="AS38" s="59"/>
      <c r="AT38" s="59"/>
      <c r="AU38" s="59"/>
      <c r="AV38" s="62"/>
      <c r="AW38" s="10"/>
      <c r="AX38" s="326"/>
      <c r="AY38" s="5"/>
      <c r="AZ38" s="10"/>
      <c r="BA38" s="8"/>
      <c r="BB38" s="10"/>
      <c r="BC38" s="10"/>
      <c r="BD38" s="10"/>
      <c r="BE38" s="10"/>
      <c r="BF38" s="10"/>
      <c r="BG38" s="10"/>
      <c r="BH38" s="30"/>
      <c r="BI38" s="10"/>
      <c r="BJ38" s="338"/>
      <c r="BK38" s="338"/>
      <c r="BL38" s="303"/>
      <c r="BM38" s="5"/>
      <c r="BN38" s="10"/>
      <c r="BO38" s="8"/>
      <c r="BP38" s="5"/>
      <c r="BQ38" s="10"/>
      <c r="BR38" s="29">
        <v>1989</v>
      </c>
      <c r="BS38" s="64">
        <v>1988</v>
      </c>
      <c r="BT38" s="14">
        <v>18</v>
      </c>
      <c r="BU38" s="10"/>
      <c r="BV38" s="8"/>
      <c r="BW38" s="10"/>
      <c r="BX38" s="10"/>
      <c r="BY38" s="10"/>
      <c r="BZ38" s="10"/>
      <c r="CA38" s="10"/>
      <c r="CB38" s="10"/>
      <c r="CC38" s="221"/>
      <c r="CD38" s="10"/>
      <c r="CE38" s="317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317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38">
        <f t="shared" si="18"/>
        <v>0</v>
      </c>
      <c r="DW38" s="14" t="str">
        <f t="shared" si="19"/>
        <v>PROB</v>
      </c>
    </row>
    <row r="39" spans="1:127" customFormat="1">
      <c r="A39" s="210">
        <v>32417</v>
      </c>
      <c r="B39" s="211"/>
      <c r="C39" s="8">
        <v>6</v>
      </c>
      <c r="D39" s="10">
        <v>17</v>
      </c>
      <c r="E39" s="10">
        <v>1</v>
      </c>
      <c r="F39" s="10">
        <v>0</v>
      </c>
      <c r="G39" s="10">
        <v>0</v>
      </c>
      <c r="H39" s="10">
        <v>3</v>
      </c>
      <c r="I39" s="10">
        <v>0</v>
      </c>
      <c r="J39" s="10">
        <v>0</v>
      </c>
      <c r="K39" s="59">
        <v>0</v>
      </c>
      <c r="L39" s="59">
        <v>0</v>
      </c>
      <c r="M39" s="59">
        <v>0</v>
      </c>
      <c r="N39" s="59">
        <v>0</v>
      </c>
      <c r="O39" s="10">
        <v>8</v>
      </c>
      <c r="P39" s="59">
        <v>0</v>
      </c>
      <c r="Q39" s="10">
        <v>0</v>
      </c>
      <c r="R39" s="10">
        <v>0</v>
      </c>
      <c r="S39" s="35">
        <f t="shared" si="17"/>
        <v>35</v>
      </c>
      <c r="T39" s="10"/>
      <c r="U39" s="10"/>
      <c r="V39" s="10"/>
      <c r="W39" s="10"/>
      <c r="X39" s="5"/>
      <c r="Y39" s="10"/>
      <c r="Z39" s="8"/>
      <c r="AA39" s="10"/>
      <c r="AB39" s="10"/>
      <c r="AC39" s="8"/>
      <c r="AD39" s="10"/>
      <c r="AE39" s="35"/>
      <c r="AF39" s="10"/>
      <c r="AG39" s="8">
        <v>71</v>
      </c>
      <c r="AH39" s="59">
        <v>33</v>
      </c>
      <c r="AI39" s="10">
        <v>140</v>
      </c>
      <c r="AJ39" s="5">
        <v>16</v>
      </c>
      <c r="AK39" s="10"/>
      <c r="AL39" s="8"/>
      <c r="AM39" s="10"/>
      <c r="AN39" s="35"/>
      <c r="AO39" s="10"/>
      <c r="AP39" s="10"/>
      <c r="AQ39" s="35"/>
      <c r="AR39" s="59"/>
      <c r="AS39" s="59"/>
      <c r="AT39" s="59"/>
      <c r="AU39" s="59"/>
      <c r="AV39" s="62"/>
      <c r="AW39" s="10"/>
      <c r="AX39" s="326"/>
      <c r="AY39" s="5"/>
      <c r="AZ39" s="10"/>
      <c r="BA39" s="8"/>
      <c r="BB39" s="10"/>
      <c r="BC39" s="10"/>
      <c r="BD39" s="10"/>
      <c r="BE39" s="10"/>
      <c r="BF39" s="10"/>
      <c r="BG39" s="10"/>
      <c r="BH39" s="30"/>
      <c r="BI39" s="10"/>
      <c r="BJ39" s="338"/>
      <c r="BK39" s="338"/>
      <c r="BL39" s="303"/>
      <c r="BM39" s="5"/>
      <c r="BN39" s="10"/>
      <c r="BO39" s="8"/>
      <c r="BP39" s="5"/>
      <c r="BQ39" s="10"/>
      <c r="BR39" s="29">
        <v>1989</v>
      </c>
      <c r="BS39" s="64">
        <v>1988</v>
      </c>
      <c r="BT39" s="14">
        <v>19</v>
      </c>
      <c r="BU39" s="10"/>
      <c r="BV39" s="8"/>
      <c r="BW39" s="10"/>
      <c r="BX39" s="10"/>
      <c r="BY39" s="10"/>
      <c r="BZ39" s="10"/>
      <c r="CA39" s="10"/>
      <c r="CB39" s="10"/>
      <c r="CC39" s="221"/>
      <c r="CD39" s="10"/>
      <c r="CE39" s="317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317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38">
        <f t="shared" si="18"/>
        <v>0</v>
      </c>
      <c r="DW39" s="14" t="str">
        <f t="shared" si="19"/>
        <v>PROB</v>
      </c>
    </row>
    <row r="40" spans="1:127" customFormat="1">
      <c r="A40" s="210">
        <v>32431</v>
      </c>
      <c r="B40" s="211"/>
      <c r="C40" s="8">
        <v>8</v>
      </c>
      <c r="D40" s="10">
        <v>47</v>
      </c>
      <c r="E40" s="10">
        <v>1</v>
      </c>
      <c r="F40" s="10">
        <v>5</v>
      </c>
      <c r="G40" s="10">
        <v>1</v>
      </c>
      <c r="H40" s="10">
        <v>0</v>
      </c>
      <c r="I40" s="10">
        <v>0</v>
      </c>
      <c r="J40" s="10">
        <v>0</v>
      </c>
      <c r="K40" s="59">
        <v>0</v>
      </c>
      <c r="L40" s="59">
        <v>0</v>
      </c>
      <c r="M40" s="59">
        <v>0</v>
      </c>
      <c r="N40" s="59">
        <v>0</v>
      </c>
      <c r="O40" s="10">
        <v>5</v>
      </c>
      <c r="P40" s="59">
        <v>0</v>
      </c>
      <c r="Q40" s="10">
        <v>0</v>
      </c>
      <c r="R40" s="10">
        <v>0</v>
      </c>
      <c r="S40" s="35">
        <f t="shared" si="17"/>
        <v>67</v>
      </c>
      <c r="T40" s="10"/>
      <c r="U40" s="10"/>
      <c r="V40" s="10"/>
      <c r="W40" s="10"/>
      <c r="X40" s="5"/>
      <c r="Y40" s="10"/>
      <c r="Z40" s="8"/>
      <c r="AA40" s="10"/>
      <c r="AB40" s="10"/>
      <c r="AC40" s="8"/>
      <c r="AD40" s="10"/>
      <c r="AE40" s="35"/>
      <c r="AF40" s="10"/>
      <c r="AG40" s="8">
        <v>89</v>
      </c>
      <c r="AH40" s="59">
        <v>11</v>
      </c>
      <c r="AI40" s="10">
        <v>146</v>
      </c>
      <c r="AJ40" s="5">
        <v>24</v>
      </c>
      <c r="AK40" s="10"/>
      <c r="AL40" s="8"/>
      <c r="AM40" s="10"/>
      <c r="AN40" s="35"/>
      <c r="AO40" s="10"/>
      <c r="AP40" s="10"/>
      <c r="AQ40" s="35"/>
      <c r="AR40" s="59"/>
      <c r="AS40" s="59"/>
      <c r="AT40" s="59"/>
      <c r="AU40" s="59"/>
      <c r="AV40" s="62"/>
      <c r="AW40" s="10"/>
      <c r="AX40" s="326"/>
      <c r="AY40" s="5"/>
      <c r="AZ40" s="10"/>
      <c r="BA40" s="8"/>
      <c r="BB40" s="10"/>
      <c r="BC40" s="10"/>
      <c r="BD40" s="10"/>
      <c r="BE40" s="10"/>
      <c r="BF40" s="10"/>
      <c r="BG40" s="10"/>
      <c r="BH40" s="30"/>
      <c r="BI40" s="10"/>
      <c r="BJ40" s="338"/>
      <c r="BK40" s="338"/>
      <c r="BL40" s="303"/>
      <c r="BM40" s="5"/>
      <c r="BN40" s="10"/>
      <c r="BO40" s="8"/>
      <c r="BP40" s="5"/>
      <c r="BQ40" s="10"/>
      <c r="BR40" s="29">
        <v>1989</v>
      </c>
      <c r="BS40" s="64">
        <v>1988</v>
      </c>
      <c r="BT40" s="14">
        <v>20</v>
      </c>
      <c r="BU40" s="10"/>
      <c r="BV40" s="8"/>
      <c r="BW40" s="10"/>
      <c r="BX40" s="10"/>
      <c r="BY40" s="10"/>
      <c r="BZ40" s="10"/>
      <c r="CA40" s="10"/>
      <c r="CB40" s="10"/>
      <c r="CC40" s="221"/>
      <c r="CD40" s="10"/>
      <c r="CE40" s="317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317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38">
        <f t="shared" si="18"/>
        <v>0</v>
      </c>
      <c r="DW40" s="14" t="str">
        <f t="shared" si="19"/>
        <v>PROB</v>
      </c>
    </row>
    <row r="41" spans="1:127" customFormat="1">
      <c r="A41" s="210">
        <v>32448</v>
      </c>
      <c r="B41" s="211"/>
      <c r="C41" s="8">
        <v>4</v>
      </c>
      <c r="D41" s="10">
        <v>14</v>
      </c>
      <c r="E41" s="10">
        <v>2</v>
      </c>
      <c r="F41" s="10">
        <v>2</v>
      </c>
      <c r="G41" s="10">
        <v>0</v>
      </c>
      <c r="H41" s="10">
        <v>2</v>
      </c>
      <c r="I41" s="10">
        <v>0</v>
      </c>
      <c r="J41" s="10">
        <v>0</v>
      </c>
      <c r="K41" s="59">
        <v>0</v>
      </c>
      <c r="L41" s="59">
        <v>0</v>
      </c>
      <c r="M41" s="59">
        <v>0</v>
      </c>
      <c r="N41" s="59">
        <v>0</v>
      </c>
      <c r="O41" s="10">
        <v>3</v>
      </c>
      <c r="P41" s="59">
        <v>0</v>
      </c>
      <c r="Q41" s="10">
        <v>0</v>
      </c>
      <c r="R41" s="10">
        <v>0</v>
      </c>
      <c r="S41" s="35">
        <f t="shared" si="17"/>
        <v>27</v>
      </c>
      <c r="T41" s="10"/>
      <c r="U41" s="10"/>
      <c r="V41" s="10"/>
      <c r="W41" s="10"/>
      <c r="X41" s="5"/>
      <c r="Y41" s="10"/>
      <c r="Z41" s="8"/>
      <c r="AA41" s="10"/>
      <c r="AB41" s="10"/>
      <c r="AC41" s="8"/>
      <c r="AD41" s="10"/>
      <c r="AE41" s="35"/>
      <c r="AF41" s="10"/>
      <c r="AG41" s="8">
        <v>87</v>
      </c>
      <c r="AH41" s="59">
        <v>35</v>
      </c>
      <c r="AI41" s="10">
        <v>144</v>
      </c>
      <c r="AJ41" s="5">
        <v>16</v>
      </c>
      <c r="AK41" s="10"/>
      <c r="AL41" s="8"/>
      <c r="AM41" s="10"/>
      <c r="AN41" s="35"/>
      <c r="AO41" s="10"/>
      <c r="AP41" s="10"/>
      <c r="AQ41" s="35"/>
      <c r="AR41" s="59"/>
      <c r="AS41" s="59"/>
      <c r="AT41" s="59"/>
      <c r="AU41" s="59"/>
      <c r="AV41" s="62"/>
      <c r="AW41" s="10"/>
      <c r="AX41" s="326"/>
      <c r="AY41" s="5"/>
      <c r="AZ41" s="10"/>
      <c r="BA41" s="8"/>
      <c r="BB41" s="10"/>
      <c r="BC41" s="10"/>
      <c r="BD41" s="10"/>
      <c r="BE41" s="10"/>
      <c r="BF41" s="10"/>
      <c r="BG41" s="10"/>
      <c r="BH41" s="30"/>
      <c r="BI41" s="10"/>
      <c r="BJ41" s="338"/>
      <c r="BK41" s="338"/>
      <c r="BL41" s="303"/>
      <c r="BM41" s="5"/>
      <c r="BN41" s="10"/>
      <c r="BO41" s="8"/>
      <c r="BP41" s="5"/>
      <c r="BQ41" s="10"/>
      <c r="BR41" s="29">
        <v>1989</v>
      </c>
      <c r="BS41" s="64">
        <v>1988</v>
      </c>
      <c r="BT41" s="14">
        <v>21</v>
      </c>
      <c r="BU41" s="10"/>
      <c r="BV41" s="8"/>
      <c r="BW41" s="10"/>
      <c r="BX41" s="10"/>
      <c r="BY41" s="10"/>
      <c r="BZ41" s="10"/>
      <c r="CA41" s="10"/>
      <c r="CB41" s="10"/>
      <c r="CC41" s="221"/>
      <c r="CD41" s="10"/>
      <c r="CE41" s="317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317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38">
        <f t="shared" si="18"/>
        <v>0</v>
      </c>
      <c r="DW41" s="14" t="str">
        <f t="shared" si="19"/>
        <v>PROB</v>
      </c>
    </row>
    <row r="42" spans="1:127" customFormat="1">
      <c r="A42" s="210">
        <v>32462</v>
      </c>
      <c r="B42" s="211"/>
      <c r="C42" s="8">
        <v>8</v>
      </c>
      <c r="D42" s="10">
        <v>29</v>
      </c>
      <c r="E42" s="10">
        <v>2</v>
      </c>
      <c r="F42" s="10">
        <v>2</v>
      </c>
      <c r="G42" s="10">
        <v>0</v>
      </c>
      <c r="H42" s="10">
        <v>1</v>
      </c>
      <c r="I42" s="10">
        <v>0</v>
      </c>
      <c r="J42" s="10">
        <v>0</v>
      </c>
      <c r="K42" s="59">
        <v>0</v>
      </c>
      <c r="L42" s="59">
        <v>0</v>
      </c>
      <c r="M42" s="59">
        <v>0</v>
      </c>
      <c r="N42" s="59">
        <v>0</v>
      </c>
      <c r="O42" s="10">
        <v>2</v>
      </c>
      <c r="P42" s="59">
        <v>0</v>
      </c>
      <c r="Q42" s="10">
        <v>0</v>
      </c>
      <c r="R42" s="10">
        <v>0</v>
      </c>
      <c r="S42" s="35">
        <f t="shared" si="17"/>
        <v>44</v>
      </c>
      <c r="T42" s="10"/>
      <c r="U42" s="10"/>
      <c r="V42" s="10"/>
      <c r="W42" s="10"/>
      <c r="X42" s="5"/>
      <c r="Y42" s="10"/>
      <c r="Z42" s="8"/>
      <c r="AA42" s="10"/>
      <c r="AB42" s="10"/>
      <c r="AC42" s="8"/>
      <c r="AD42" s="10"/>
      <c r="AE42" s="35"/>
      <c r="AF42" s="10"/>
      <c r="AG42" s="8">
        <v>99</v>
      </c>
      <c r="AH42" s="59">
        <v>12</v>
      </c>
      <c r="AI42" s="10">
        <v>136</v>
      </c>
      <c r="AJ42" s="5">
        <v>16</v>
      </c>
      <c r="AK42" s="10"/>
      <c r="AL42" s="8"/>
      <c r="AM42" s="10"/>
      <c r="AN42" s="35"/>
      <c r="AO42" s="10"/>
      <c r="AP42" s="10"/>
      <c r="AQ42" s="35"/>
      <c r="AR42" s="59"/>
      <c r="AS42" s="59"/>
      <c r="AT42" s="59"/>
      <c r="AU42" s="59"/>
      <c r="AV42" s="62"/>
      <c r="AW42" s="10"/>
      <c r="AX42" s="326"/>
      <c r="AY42" s="5"/>
      <c r="AZ42" s="10"/>
      <c r="BA42" s="8"/>
      <c r="BB42" s="10"/>
      <c r="BC42" s="10"/>
      <c r="BD42" s="10"/>
      <c r="BE42" s="10"/>
      <c r="BF42" s="10"/>
      <c r="BG42" s="10"/>
      <c r="BH42" s="30"/>
      <c r="BI42" s="10"/>
      <c r="BJ42" s="338"/>
      <c r="BK42" s="338"/>
      <c r="BL42" s="303"/>
      <c r="BM42" s="5"/>
      <c r="BN42" s="10"/>
      <c r="BO42" s="8"/>
      <c r="BP42" s="5"/>
      <c r="BQ42" s="10"/>
      <c r="BR42" s="29">
        <v>1989</v>
      </c>
      <c r="BS42" s="64">
        <v>1988</v>
      </c>
      <c r="BT42" s="14">
        <v>22</v>
      </c>
      <c r="BU42" s="10"/>
      <c r="BV42" s="8"/>
      <c r="BW42" s="10"/>
      <c r="BX42" s="10"/>
      <c r="BY42" s="10"/>
      <c r="BZ42" s="10"/>
      <c r="CA42" s="10"/>
      <c r="CB42" s="10"/>
      <c r="CC42" s="221"/>
      <c r="CD42" s="10"/>
      <c r="CE42" s="317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317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38">
        <f t="shared" si="18"/>
        <v>0</v>
      </c>
      <c r="DW42" s="14" t="str">
        <f t="shared" si="19"/>
        <v>PROB</v>
      </c>
    </row>
    <row r="43" spans="1:127" customFormat="1">
      <c r="A43" s="210">
        <v>32478</v>
      </c>
      <c r="B43" s="211"/>
      <c r="C43" s="8">
        <v>5</v>
      </c>
      <c r="D43" s="10">
        <v>13</v>
      </c>
      <c r="E43" s="10">
        <v>5</v>
      </c>
      <c r="F43" s="10">
        <v>2</v>
      </c>
      <c r="G43" s="10">
        <v>1</v>
      </c>
      <c r="H43" s="10">
        <v>0</v>
      </c>
      <c r="I43" s="10">
        <v>0</v>
      </c>
      <c r="J43" s="10">
        <v>0</v>
      </c>
      <c r="K43" s="59">
        <v>0</v>
      </c>
      <c r="L43" s="59">
        <v>0</v>
      </c>
      <c r="M43" s="59">
        <v>0</v>
      </c>
      <c r="N43" s="59">
        <v>0</v>
      </c>
      <c r="O43" s="10">
        <v>14</v>
      </c>
      <c r="P43" s="59">
        <v>0</v>
      </c>
      <c r="Q43" s="10">
        <v>0</v>
      </c>
      <c r="R43" s="10">
        <v>0</v>
      </c>
      <c r="S43" s="35">
        <f t="shared" si="17"/>
        <v>40</v>
      </c>
      <c r="T43" s="10"/>
      <c r="U43" s="10"/>
      <c r="V43" s="10"/>
      <c r="W43" s="10"/>
      <c r="X43" s="5"/>
      <c r="Y43" s="10"/>
      <c r="Z43" s="8"/>
      <c r="AA43" s="10"/>
      <c r="AB43" s="10"/>
      <c r="AC43" s="8"/>
      <c r="AD43" s="10"/>
      <c r="AE43" s="35"/>
      <c r="AF43" s="10"/>
      <c r="AG43" s="8">
        <v>114</v>
      </c>
      <c r="AH43" s="59">
        <v>38</v>
      </c>
      <c r="AI43" s="10">
        <v>178</v>
      </c>
      <c r="AJ43" s="5">
        <v>20</v>
      </c>
      <c r="AK43" s="10"/>
      <c r="AL43" s="8"/>
      <c r="AM43" s="10"/>
      <c r="AN43" s="35"/>
      <c r="AO43" s="10"/>
      <c r="AP43" s="10"/>
      <c r="AQ43" s="35"/>
      <c r="AR43" s="59"/>
      <c r="AS43" s="59"/>
      <c r="AT43" s="59"/>
      <c r="AU43" s="59"/>
      <c r="AV43" s="62"/>
      <c r="AW43" s="10"/>
      <c r="AX43" s="326"/>
      <c r="AY43" s="5"/>
      <c r="AZ43" s="10"/>
      <c r="BA43" s="8"/>
      <c r="BB43" s="10"/>
      <c r="BC43" s="10"/>
      <c r="BD43" s="10"/>
      <c r="BE43" s="10"/>
      <c r="BF43" s="10"/>
      <c r="BG43" s="10"/>
      <c r="BH43" s="30"/>
      <c r="BI43" s="10"/>
      <c r="BJ43" s="338"/>
      <c r="BK43" s="338"/>
      <c r="BL43" s="303"/>
      <c r="BM43" s="5"/>
      <c r="BN43" s="10"/>
      <c r="BO43" s="8"/>
      <c r="BP43" s="5"/>
      <c r="BQ43" s="10"/>
      <c r="BR43" s="29">
        <v>1989</v>
      </c>
      <c r="BS43" s="64">
        <v>1988</v>
      </c>
      <c r="BT43" s="14">
        <v>23</v>
      </c>
      <c r="BU43" s="10"/>
      <c r="BV43" s="8"/>
      <c r="BW43" s="10"/>
      <c r="BX43" s="10"/>
      <c r="BY43" s="10"/>
      <c r="BZ43" s="10"/>
      <c r="CA43" s="10"/>
      <c r="CB43" s="10"/>
      <c r="CC43" s="221"/>
      <c r="CD43" s="10"/>
      <c r="CE43" s="317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317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38">
        <f t="shared" si="18"/>
        <v>0</v>
      </c>
      <c r="DW43" s="14" t="str">
        <f t="shared" si="19"/>
        <v>PROB</v>
      </c>
    </row>
    <row r="44" spans="1:127" customFormat="1">
      <c r="A44" s="210">
        <v>32492</v>
      </c>
      <c r="B44" s="211"/>
      <c r="C44" s="8">
        <v>4</v>
      </c>
      <c r="D44" s="10">
        <v>2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0</v>
      </c>
      <c r="K44" s="59">
        <v>0</v>
      </c>
      <c r="L44" s="59">
        <v>0</v>
      </c>
      <c r="M44" s="59">
        <v>0</v>
      </c>
      <c r="N44" s="59">
        <v>0</v>
      </c>
      <c r="O44" s="10">
        <v>3</v>
      </c>
      <c r="P44" s="59">
        <v>0</v>
      </c>
      <c r="Q44" s="10">
        <v>0</v>
      </c>
      <c r="R44" s="10">
        <v>0</v>
      </c>
      <c r="S44" s="35">
        <f t="shared" si="17"/>
        <v>10</v>
      </c>
      <c r="T44" s="10"/>
      <c r="U44" s="10"/>
      <c r="V44" s="10"/>
      <c r="W44" s="10"/>
      <c r="X44" s="5"/>
      <c r="Y44" s="10"/>
      <c r="Z44" s="8"/>
      <c r="AA44" s="10"/>
      <c r="AB44" s="10"/>
      <c r="AC44" s="8"/>
      <c r="AD44" s="10"/>
      <c r="AE44" s="35"/>
      <c r="AF44" s="10"/>
      <c r="AG44" s="8">
        <v>16</v>
      </c>
      <c r="AH44" s="59">
        <v>39</v>
      </c>
      <c r="AI44" s="10">
        <v>114</v>
      </c>
      <c r="AJ44" s="5">
        <v>16</v>
      </c>
      <c r="AK44" s="10"/>
      <c r="AL44" s="8"/>
      <c r="AM44" s="10"/>
      <c r="AN44" s="35"/>
      <c r="AO44" s="10"/>
      <c r="AP44" s="10"/>
      <c r="AQ44" s="35"/>
      <c r="AR44" s="59"/>
      <c r="AS44" s="59"/>
      <c r="AT44" s="59"/>
      <c r="AU44" s="59"/>
      <c r="AV44" s="62"/>
      <c r="AW44" s="10"/>
      <c r="AX44" s="326"/>
      <c r="AY44" s="5"/>
      <c r="AZ44" s="10"/>
      <c r="BA44" s="8"/>
      <c r="BB44" s="10"/>
      <c r="BC44" s="10"/>
      <c r="BD44" s="10"/>
      <c r="BE44" s="10"/>
      <c r="BF44" s="10"/>
      <c r="BG44" s="10"/>
      <c r="BH44" s="30"/>
      <c r="BI44" s="10"/>
      <c r="BJ44" s="338"/>
      <c r="BK44" s="338"/>
      <c r="BL44" s="303"/>
      <c r="BM44" s="5"/>
      <c r="BN44" s="10"/>
      <c r="BO44" s="8"/>
      <c r="BP44" s="5"/>
      <c r="BQ44" s="10"/>
      <c r="BR44" s="29">
        <v>1989</v>
      </c>
      <c r="BS44" s="64">
        <v>1988</v>
      </c>
      <c r="BT44" s="14">
        <v>24</v>
      </c>
      <c r="BU44" s="10"/>
      <c r="BV44" s="8"/>
      <c r="BW44" s="10"/>
      <c r="BX44" s="10"/>
      <c r="BY44" s="10"/>
      <c r="BZ44" s="10"/>
      <c r="CA44" s="10"/>
      <c r="CB44" s="10"/>
      <c r="CC44" s="221"/>
      <c r="CD44" s="10"/>
      <c r="CE44" s="317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317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38">
        <f t="shared" si="18"/>
        <v>0</v>
      </c>
      <c r="DW44" s="14" t="str">
        <f t="shared" si="19"/>
        <v>PROB</v>
      </c>
    </row>
    <row r="45" spans="1:127" customFormat="1">
      <c r="A45" s="210">
        <v>32509</v>
      </c>
      <c r="B45" s="211"/>
      <c r="C45" s="8">
        <v>3</v>
      </c>
      <c r="D45" s="10">
        <v>14</v>
      </c>
      <c r="E45" s="10">
        <v>1</v>
      </c>
      <c r="F45" s="10">
        <v>0</v>
      </c>
      <c r="G45" s="10">
        <v>0</v>
      </c>
      <c r="H45" s="10">
        <v>3</v>
      </c>
      <c r="I45" s="10">
        <v>0</v>
      </c>
      <c r="J45" s="10">
        <v>0</v>
      </c>
      <c r="K45" s="59">
        <v>0</v>
      </c>
      <c r="L45" s="59">
        <v>0</v>
      </c>
      <c r="M45" s="59">
        <v>0</v>
      </c>
      <c r="N45" s="59">
        <v>0</v>
      </c>
      <c r="O45" s="10">
        <v>30</v>
      </c>
      <c r="P45" s="59">
        <v>0</v>
      </c>
      <c r="Q45" s="10">
        <v>0</v>
      </c>
      <c r="R45" s="10">
        <v>0</v>
      </c>
      <c r="S45" s="35">
        <f t="shared" si="17"/>
        <v>51</v>
      </c>
      <c r="T45" s="10"/>
      <c r="U45" s="10"/>
      <c r="V45" s="10"/>
      <c r="W45" s="10"/>
      <c r="X45" s="5"/>
      <c r="Y45" s="10"/>
      <c r="Z45" s="8"/>
      <c r="AA45" s="10"/>
      <c r="AB45" s="10"/>
      <c r="AC45" s="8"/>
      <c r="AD45" s="10"/>
      <c r="AE45" s="35"/>
      <c r="AF45" s="10"/>
      <c r="AG45" s="8">
        <v>92</v>
      </c>
      <c r="AH45" s="59">
        <v>14</v>
      </c>
      <c r="AI45" s="10">
        <v>132</v>
      </c>
      <c r="AJ45" s="5">
        <v>24</v>
      </c>
      <c r="AK45" s="10"/>
      <c r="AL45" s="8"/>
      <c r="AM45" s="10"/>
      <c r="AN45" s="35"/>
      <c r="AO45" s="10"/>
      <c r="AP45" s="10"/>
      <c r="AQ45" s="35"/>
      <c r="AR45" s="59"/>
      <c r="AS45" s="59"/>
      <c r="AT45" s="59"/>
      <c r="AU45" s="59"/>
      <c r="AV45" s="62"/>
      <c r="AW45" s="10"/>
      <c r="AX45" s="326"/>
      <c r="AY45" s="5"/>
      <c r="AZ45" s="10"/>
      <c r="BA45" s="8"/>
      <c r="BB45" s="10"/>
      <c r="BC45" s="10"/>
      <c r="BD45" s="10"/>
      <c r="BE45" s="10"/>
      <c r="BF45" s="10"/>
      <c r="BG45" s="10"/>
      <c r="BH45" s="30"/>
      <c r="BI45" s="10"/>
      <c r="BJ45" s="338"/>
      <c r="BK45" s="338"/>
      <c r="BL45" s="303"/>
      <c r="BM45" s="5">
        <f>950+30+958+1006+998</f>
        <v>3942</v>
      </c>
      <c r="BN45" s="10"/>
      <c r="BO45" s="8"/>
      <c r="BP45" s="5"/>
      <c r="BQ45" s="10"/>
      <c r="BR45" s="29">
        <v>1989</v>
      </c>
      <c r="BS45" s="64">
        <v>1989</v>
      </c>
      <c r="BT45" s="14">
        <v>1</v>
      </c>
      <c r="BU45" s="10"/>
      <c r="BV45" s="8"/>
      <c r="BW45" s="10"/>
      <c r="BX45" s="10"/>
      <c r="BY45" s="10"/>
      <c r="BZ45" s="10"/>
      <c r="CA45" s="10"/>
      <c r="CB45" s="10"/>
      <c r="CC45" s="221"/>
      <c r="CD45" s="10"/>
      <c r="CE45" s="317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317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38">
        <f t="shared" si="18"/>
        <v>0</v>
      </c>
      <c r="DW45" s="14" t="str">
        <f t="shared" si="19"/>
        <v>PROB</v>
      </c>
    </row>
    <row r="46" spans="1:127" customFormat="1">
      <c r="A46" s="210">
        <v>32523</v>
      </c>
      <c r="B46" s="211"/>
      <c r="C46" s="8">
        <v>10</v>
      </c>
      <c r="D46" s="10">
        <v>12</v>
      </c>
      <c r="E46" s="10">
        <v>0</v>
      </c>
      <c r="F46" s="10">
        <v>0</v>
      </c>
      <c r="G46" s="10">
        <v>1</v>
      </c>
      <c r="H46" s="10">
        <v>4</v>
      </c>
      <c r="I46" s="10">
        <v>0</v>
      </c>
      <c r="J46" s="10">
        <v>0</v>
      </c>
      <c r="K46" s="59">
        <v>0</v>
      </c>
      <c r="L46" s="59">
        <v>0</v>
      </c>
      <c r="M46" s="59">
        <v>0</v>
      </c>
      <c r="N46" s="59">
        <v>0</v>
      </c>
      <c r="O46" s="10">
        <v>11</v>
      </c>
      <c r="P46" s="59">
        <v>0</v>
      </c>
      <c r="Q46" s="10">
        <v>0</v>
      </c>
      <c r="R46" s="10">
        <v>0</v>
      </c>
      <c r="S46" s="35">
        <f t="shared" si="17"/>
        <v>38</v>
      </c>
      <c r="T46" s="10"/>
      <c r="U46" s="10"/>
      <c r="V46" s="10"/>
      <c r="W46" s="10"/>
      <c r="X46" s="5"/>
      <c r="Y46" s="10"/>
      <c r="Z46" s="8"/>
      <c r="AA46" s="10"/>
      <c r="AB46" s="10"/>
      <c r="AC46" s="8"/>
      <c r="AD46" s="10"/>
      <c r="AE46" s="35"/>
      <c r="AF46" s="10"/>
      <c r="AG46" s="8">
        <v>115</v>
      </c>
      <c r="AH46" s="59">
        <v>44</v>
      </c>
      <c r="AI46" s="10">
        <v>190</v>
      </c>
      <c r="AJ46" s="5">
        <v>16</v>
      </c>
      <c r="AK46" s="10"/>
      <c r="AL46" s="8"/>
      <c r="AM46" s="10"/>
      <c r="AN46" s="35"/>
      <c r="AO46" s="10"/>
      <c r="AP46" s="10"/>
      <c r="AQ46" s="35"/>
      <c r="AR46" s="59"/>
      <c r="AS46" s="59"/>
      <c r="AT46" s="59"/>
      <c r="AU46" s="59"/>
      <c r="AV46" s="62"/>
      <c r="AW46" s="10"/>
      <c r="AX46" s="326"/>
      <c r="AY46" s="5"/>
      <c r="AZ46" s="10"/>
      <c r="BA46" s="8"/>
      <c r="BB46" s="10"/>
      <c r="BC46" s="10"/>
      <c r="BD46" s="10"/>
      <c r="BE46" s="10"/>
      <c r="BF46" s="10"/>
      <c r="BG46" s="10"/>
      <c r="BH46" s="30"/>
      <c r="BI46" s="10"/>
      <c r="BJ46" s="338"/>
      <c r="BK46" s="338"/>
      <c r="BL46" s="303"/>
      <c r="BM46" s="5"/>
      <c r="BN46" s="10"/>
      <c r="BO46" s="8"/>
      <c r="BP46" s="5"/>
      <c r="BQ46" s="10"/>
      <c r="BR46" s="29">
        <v>1989</v>
      </c>
      <c r="BS46" s="64">
        <v>1989</v>
      </c>
      <c r="BT46" s="14">
        <v>2</v>
      </c>
      <c r="BU46" s="10"/>
      <c r="BV46" s="8"/>
      <c r="BW46" s="10"/>
      <c r="BX46" s="10"/>
      <c r="BY46" s="10"/>
      <c r="BZ46" s="10"/>
      <c r="CA46" s="10"/>
      <c r="CB46" s="10"/>
      <c r="CC46" s="221"/>
      <c r="CD46" s="10"/>
      <c r="CE46" s="317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317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38">
        <f t="shared" si="18"/>
        <v>0</v>
      </c>
      <c r="DW46" s="14" t="str">
        <f t="shared" si="19"/>
        <v>PROB</v>
      </c>
    </row>
    <row r="47" spans="1:127" customFormat="1">
      <c r="A47" s="210">
        <v>32540</v>
      </c>
      <c r="B47" s="211"/>
      <c r="C47" s="8">
        <v>9</v>
      </c>
      <c r="D47" s="10">
        <v>14</v>
      </c>
      <c r="E47" s="10">
        <v>1</v>
      </c>
      <c r="F47" s="10">
        <v>0</v>
      </c>
      <c r="G47" s="10">
        <v>0</v>
      </c>
      <c r="H47" s="10">
        <v>6</v>
      </c>
      <c r="I47" s="10">
        <v>0</v>
      </c>
      <c r="J47" s="10">
        <v>0</v>
      </c>
      <c r="K47" s="59">
        <v>0</v>
      </c>
      <c r="L47" s="59">
        <v>0</v>
      </c>
      <c r="M47" s="59">
        <v>0</v>
      </c>
      <c r="N47" s="59">
        <v>0</v>
      </c>
      <c r="O47" s="10">
        <v>3</v>
      </c>
      <c r="P47" s="59">
        <v>0</v>
      </c>
      <c r="Q47" s="10">
        <v>0</v>
      </c>
      <c r="R47" s="10">
        <v>0</v>
      </c>
      <c r="S47" s="35">
        <f t="shared" si="17"/>
        <v>33</v>
      </c>
      <c r="T47" s="10"/>
      <c r="U47" s="10"/>
      <c r="V47" s="10"/>
      <c r="W47" s="10"/>
      <c r="X47" s="5"/>
      <c r="Y47" s="10"/>
      <c r="Z47" s="8"/>
      <c r="AA47" s="10"/>
      <c r="AB47" s="10"/>
      <c r="AC47" s="8"/>
      <c r="AD47" s="10"/>
      <c r="AE47" s="35"/>
      <c r="AF47" s="10"/>
      <c r="AG47" s="8">
        <v>83</v>
      </c>
      <c r="AH47" s="59">
        <v>3</v>
      </c>
      <c r="AI47" s="10">
        <v>136</v>
      </c>
      <c r="AJ47" s="5">
        <v>16</v>
      </c>
      <c r="AK47" s="10"/>
      <c r="AL47" s="8"/>
      <c r="AM47" s="10"/>
      <c r="AN47" s="35"/>
      <c r="AO47" s="10"/>
      <c r="AP47" s="10"/>
      <c r="AQ47" s="35"/>
      <c r="AR47" s="59"/>
      <c r="AS47" s="59"/>
      <c r="AT47" s="59"/>
      <c r="AU47" s="59"/>
      <c r="AV47" s="62"/>
      <c r="AW47" s="10"/>
      <c r="AX47" s="326"/>
      <c r="AY47" s="5"/>
      <c r="AZ47" s="10"/>
      <c r="BA47" s="8"/>
      <c r="BB47" s="10"/>
      <c r="BC47" s="10"/>
      <c r="BD47" s="10"/>
      <c r="BE47" s="10"/>
      <c r="BF47" s="10"/>
      <c r="BG47" s="10"/>
      <c r="BH47" s="30"/>
      <c r="BI47" s="10"/>
      <c r="BJ47" s="338"/>
      <c r="BK47" s="338"/>
      <c r="BL47" s="303"/>
      <c r="BM47" s="5"/>
      <c r="BN47" s="10"/>
      <c r="BO47" s="8"/>
      <c r="BP47" s="5"/>
      <c r="BQ47" s="10"/>
      <c r="BR47" s="29">
        <v>1989</v>
      </c>
      <c r="BS47" s="64">
        <v>1989</v>
      </c>
      <c r="BT47" s="14">
        <v>3</v>
      </c>
      <c r="BU47" s="10"/>
      <c r="BV47" s="8"/>
      <c r="BW47" s="10"/>
      <c r="BX47" s="10"/>
      <c r="BY47" s="10"/>
      <c r="BZ47" s="10"/>
      <c r="CA47" s="10"/>
      <c r="CB47" s="10"/>
      <c r="CC47" s="221"/>
      <c r="CD47" s="10"/>
      <c r="CE47" s="317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317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38">
        <f t="shared" si="18"/>
        <v>0</v>
      </c>
      <c r="DW47" s="14" t="str">
        <f t="shared" si="19"/>
        <v>PROB</v>
      </c>
    </row>
    <row r="48" spans="1:127" customFormat="1">
      <c r="A48" s="210">
        <v>32554</v>
      </c>
      <c r="B48" s="211"/>
      <c r="C48" s="8">
        <v>1</v>
      </c>
      <c r="D48" s="10">
        <v>16</v>
      </c>
      <c r="E48" s="10">
        <v>0</v>
      </c>
      <c r="F48" s="10">
        <v>2</v>
      </c>
      <c r="G48" s="10">
        <v>4</v>
      </c>
      <c r="H48" s="10">
        <v>1</v>
      </c>
      <c r="I48" s="10">
        <v>0</v>
      </c>
      <c r="J48" s="10">
        <v>0</v>
      </c>
      <c r="K48" s="59">
        <v>0</v>
      </c>
      <c r="L48" s="59">
        <v>0</v>
      </c>
      <c r="M48" s="59">
        <v>0</v>
      </c>
      <c r="N48" s="59">
        <v>0</v>
      </c>
      <c r="O48" s="10">
        <v>4</v>
      </c>
      <c r="P48" s="59">
        <v>0</v>
      </c>
      <c r="Q48" s="10">
        <v>0</v>
      </c>
      <c r="R48" s="10">
        <v>0</v>
      </c>
      <c r="S48" s="35">
        <f t="shared" si="17"/>
        <v>28</v>
      </c>
      <c r="T48" s="10"/>
      <c r="U48" s="10"/>
      <c r="V48" s="10"/>
      <c r="W48" s="10"/>
      <c r="X48" s="5"/>
      <c r="Y48" s="10"/>
      <c r="Z48" s="8"/>
      <c r="AA48" s="10"/>
      <c r="AB48" s="10"/>
      <c r="AC48" s="8"/>
      <c r="AD48" s="10"/>
      <c r="AE48" s="35"/>
      <c r="AF48" s="10"/>
      <c r="AG48" s="8">
        <v>120</v>
      </c>
      <c r="AH48" s="59">
        <v>4</v>
      </c>
      <c r="AI48" s="10">
        <v>138</v>
      </c>
      <c r="AJ48" s="5">
        <v>16</v>
      </c>
      <c r="AK48" s="10"/>
      <c r="AL48" s="8"/>
      <c r="AM48" s="10"/>
      <c r="AN48" s="35"/>
      <c r="AO48" s="10"/>
      <c r="AP48" s="10"/>
      <c r="AQ48" s="35"/>
      <c r="AR48" s="59"/>
      <c r="AS48" s="59"/>
      <c r="AT48" s="59"/>
      <c r="AU48" s="59"/>
      <c r="AV48" s="62"/>
      <c r="AW48" s="10"/>
      <c r="AX48" s="326"/>
      <c r="AY48" s="5"/>
      <c r="AZ48" s="10"/>
      <c r="BA48" s="8"/>
      <c r="BB48" s="10"/>
      <c r="BC48" s="10"/>
      <c r="BD48" s="10"/>
      <c r="BE48" s="10"/>
      <c r="BF48" s="10"/>
      <c r="BG48" s="10"/>
      <c r="BH48" s="30"/>
      <c r="BI48" s="10"/>
      <c r="BJ48" s="338"/>
      <c r="BK48" s="338"/>
      <c r="BL48" s="303"/>
      <c r="BM48" s="5"/>
      <c r="BN48" s="10"/>
      <c r="BO48" s="8"/>
      <c r="BP48" s="5"/>
      <c r="BQ48" s="10"/>
      <c r="BR48" s="29">
        <v>1989</v>
      </c>
      <c r="BS48" s="64">
        <v>1989</v>
      </c>
      <c r="BT48" s="14">
        <v>4</v>
      </c>
      <c r="BU48" s="10"/>
      <c r="BV48" s="8"/>
      <c r="BW48" s="10"/>
      <c r="BX48" s="10"/>
      <c r="BY48" s="10"/>
      <c r="BZ48" s="10"/>
      <c r="CA48" s="10"/>
      <c r="CB48" s="10"/>
      <c r="CC48" s="221"/>
      <c r="CD48" s="10"/>
      <c r="CE48" s="317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317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38">
        <f t="shared" si="18"/>
        <v>0</v>
      </c>
      <c r="DW48" s="14" t="str">
        <f t="shared" si="19"/>
        <v>PROB</v>
      </c>
    </row>
    <row r="49" spans="1:127" customFormat="1">
      <c r="A49" s="210">
        <v>32568</v>
      </c>
      <c r="B49" s="211"/>
      <c r="C49" s="8">
        <v>5</v>
      </c>
      <c r="D49" s="10">
        <v>11</v>
      </c>
      <c r="E49" s="10">
        <v>2</v>
      </c>
      <c r="F49" s="10">
        <v>0</v>
      </c>
      <c r="G49" s="10">
        <v>1</v>
      </c>
      <c r="H49" s="10">
        <v>0</v>
      </c>
      <c r="I49" s="10">
        <v>0</v>
      </c>
      <c r="J49" s="10">
        <v>0</v>
      </c>
      <c r="K49" s="59">
        <v>0</v>
      </c>
      <c r="L49" s="59">
        <v>0</v>
      </c>
      <c r="M49" s="59">
        <v>0</v>
      </c>
      <c r="N49" s="59">
        <v>0</v>
      </c>
      <c r="O49" s="10">
        <v>6</v>
      </c>
      <c r="P49" s="59">
        <v>0</v>
      </c>
      <c r="Q49" s="10">
        <v>0</v>
      </c>
      <c r="R49" s="10">
        <v>0</v>
      </c>
      <c r="S49" s="35">
        <f t="shared" si="17"/>
        <v>25</v>
      </c>
      <c r="T49" s="10"/>
      <c r="U49" s="10"/>
      <c r="V49" s="10"/>
      <c r="W49" s="10"/>
      <c r="X49" s="5"/>
      <c r="Y49" s="10"/>
      <c r="Z49" s="8"/>
      <c r="AA49" s="10"/>
      <c r="AB49" s="10"/>
      <c r="AC49" s="8"/>
      <c r="AD49" s="10"/>
      <c r="AE49" s="35"/>
      <c r="AF49" s="10"/>
      <c r="AG49" s="8">
        <v>56</v>
      </c>
      <c r="AH49" s="59">
        <v>4</v>
      </c>
      <c r="AI49" s="10">
        <v>144</v>
      </c>
      <c r="AJ49" s="5">
        <v>16</v>
      </c>
      <c r="AK49" s="10"/>
      <c r="AL49" s="8"/>
      <c r="AM49" s="10"/>
      <c r="AN49" s="35"/>
      <c r="AO49" s="10"/>
      <c r="AP49" s="10"/>
      <c r="AQ49" s="35"/>
      <c r="AR49" s="59"/>
      <c r="AS49" s="59"/>
      <c r="AT49" s="59"/>
      <c r="AU49" s="59"/>
      <c r="AV49" s="62"/>
      <c r="AW49" s="10"/>
      <c r="AX49" s="326"/>
      <c r="AY49" s="5"/>
      <c r="AZ49" s="10"/>
      <c r="BA49" s="8"/>
      <c r="BB49" s="10"/>
      <c r="BC49" s="10"/>
      <c r="BD49" s="10"/>
      <c r="BE49" s="10"/>
      <c r="BF49" s="10"/>
      <c r="BG49" s="10"/>
      <c r="BH49" s="30"/>
      <c r="BI49" s="10"/>
      <c r="BJ49" s="338"/>
      <c r="BK49" s="338"/>
      <c r="BL49" s="303"/>
      <c r="BM49" s="5"/>
      <c r="BN49" s="10"/>
      <c r="BO49" s="8"/>
      <c r="BP49" s="5"/>
      <c r="BQ49" s="10"/>
      <c r="BR49" s="29">
        <v>1989</v>
      </c>
      <c r="BS49" s="64">
        <v>1989</v>
      </c>
      <c r="BT49" s="14">
        <v>5</v>
      </c>
      <c r="BU49" s="10"/>
      <c r="BV49" s="8"/>
      <c r="BW49" s="10"/>
      <c r="BX49" s="10"/>
      <c r="BY49" s="10"/>
      <c r="BZ49" s="10"/>
      <c r="CA49" s="10"/>
      <c r="CB49" s="10"/>
      <c r="CC49" s="221"/>
      <c r="CD49" s="10"/>
      <c r="CE49" s="317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317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38">
        <f t="shared" si="18"/>
        <v>0</v>
      </c>
      <c r="DW49" s="14" t="str">
        <f t="shared" si="19"/>
        <v>PROB</v>
      </c>
    </row>
    <row r="50" spans="1:127" customFormat="1">
      <c r="A50" s="210">
        <v>32582</v>
      </c>
      <c r="B50" s="211"/>
      <c r="C50" s="8">
        <v>1</v>
      </c>
      <c r="D50" s="10">
        <v>13</v>
      </c>
      <c r="E50" s="10">
        <v>3</v>
      </c>
      <c r="F50" s="10">
        <v>0</v>
      </c>
      <c r="G50" s="10">
        <v>1</v>
      </c>
      <c r="H50" s="10">
        <v>2</v>
      </c>
      <c r="I50" s="10">
        <v>0</v>
      </c>
      <c r="J50" s="10">
        <v>0</v>
      </c>
      <c r="K50" s="59">
        <v>0</v>
      </c>
      <c r="L50" s="59">
        <v>0</v>
      </c>
      <c r="M50" s="59">
        <v>0</v>
      </c>
      <c r="N50" s="59">
        <v>0</v>
      </c>
      <c r="O50" s="10">
        <v>5</v>
      </c>
      <c r="P50" s="59">
        <v>0</v>
      </c>
      <c r="Q50" s="10">
        <v>0</v>
      </c>
      <c r="R50" s="10">
        <v>0</v>
      </c>
      <c r="S50" s="35">
        <f t="shared" si="17"/>
        <v>25</v>
      </c>
      <c r="T50" s="10"/>
      <c r="U50" s="10"/>
      <c r="V50" s="10"/>
      <c r="W50" s="10"/>
      <c r="X50" s="5"/>
      <c r="Y50" s="10"/>
      <c r="Z50" s="8"/>
      <c r="AA50" s="10"/>
      <c r="AB50" s="10"/>
      <c r="AC50" s="8"/>
      <c r="AD50" s="10"/>
      <c r="AE50" s="35"/>
      <c r="AF50" s="10"/>
      <c r="AG50" s="8">
        <v>87</v>
      </c>
      <c r="AH50" s="59">
        <v>6</v>
      </c>
      <c r="AI50" s="10">
        <v>130</v>
      </c>
      <c r="AJ50" s="5">
        <v>20</v>
      </c>
      <c r="AK50" s="10"/>
      <c r="AL50" s="8"/>
      <c r="AM50" s="10"/>
      <c r="AN50" s="35"/>
      <c r="AO50" s="10"/>
      <c r="AP50" s="10"/>
      <c r="AQ50" s="35"/>
      <c r="AR50" s="59"/>
      <c r="AS50" s="59"/>
      <c r="AT50" s="59"/>
      <c r="AU50" s="59"/>
      <c r="AV50" s="62"/>
      <c r="AW50" s="10"/>
      <c r="AX50" s="326"/>
      <c r="AY50" s="5"/>
      <c r="AZ50" s="10"/>
      <c r="BA50" s="8"/>
      <c r="BB50" s="10"/>
      <c r="BC50" s="10"/>
      <c r="BD50" s="10"/>
      <c r="BE50" s="10"/>
      <c r="BF50" s="10"/>
      <c r="BG50" s="10"/>
      <c r="BH50" s="30"/>
      <c r="BI50" s="10"/>
      <c r="BJ50" s="338"/>
      <c r="BK50" s="338"/>
      <c r="BL50" s="303"/>
      <c r="BM50" s="5"/>
      <c r="BN50" s="10"/>
      <c r="BO50" s="8"/>
      <c r="BP50" s="5"/>
      <c r="BQ50" s="10"/>
      <c r="BR50" s="29">
        <v>1989</v>
      </c>
      <c r="BS50" s="64">
        <v>1989</v>
      </c>
      <c r="BT50" s="14">
        <v>6</v>
      </c>
      <c r="BU50" s="10"/>
      <c r="BV50" s="8"/>
      <c r="BW50" s="10"/>
      <c r="BX50" s="10"/>
      <c r="BY50" s="10"/>
      <c r="BZ50" s="10"/>
      <c r="CA50" s="10"/>
      <c r="CB50" s="10"/>
      <c r="CC50" s="221"/>
      <c r="CD50" s="10"/>
      <c r="CE50" s="317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317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38">
        <f t="shared" si="18"/>
        <v>0</v>
      </c>
      <c r="DW50" s="14" t="str">
        <f t="shared" si="19"/>
        <v>PROB</v>
      </c>
    </row>
    <row r="51" spans="1:127" customFormat="1">
      <c r="A51" s="210">
        <v>32599</v>
      </c>
      <c r="B51" s="211"/>
      <c r="C51" s="8">
        <v>10</v>
      </c>
      <c r="D51" s="10">
        <v>15</v>
      </c>
      <c r="E51" s="10">
        <v>3</v>
      </c>
      <c r="F51" s="10">
        <v>2</v>
      </c>
      <c r="G51" s="10">
        <v>3</v>
      </c>
      <c r="H51" s="10">
        <v>2</v>
      </c>
      <c r="I51" s="10">
        <v>0</v>
      </c>
      <c r="J51" s="10">
        <v>0</v>
      </c>
      <c r="K51" s="59">
        <v>0</v>
      </c>
      <c r="L51" s="59">
        <v>0</v>
      </c>
      <c r="M51" s="59">
        <v>0</v>
      </c>
      <c r="N51" s="59">
        <v>0</v>
      </c>
      <c r="O51" s="10">
        <v>6</v>
      </c>
      <c r="P51" s="59">
        <v>0</v>
      </c>
      <c r="Q51" s="10">
        <v>0</v>
      </c>
      <c r="R51" s="10">
        <v>0</v>
      </c>
      <c r="S51" s="35">
        <f t="shared" si="17"/>
        <v>41</v>
      </c>
      <c r="T51" s="10"/>
      <c r="U51" s="10"/>
      <c r="V51" s="10"/>
      <c r="W51" s="10"/>
      <c r="X51" s="5"/>
      <c r="Y51" s="10"/>
      <c r="Z51" s="8"/>
      <c r="AA51" s="10"/>
      <c r="AB51" s="10"/>
      <c r="AC51" s="8"/>
      <c r="AD51" s="10"/>
      <c r="AE51" s="35"/>
      <c r="AF51" s="10"/>
      <c r="AG51" s="8">
        <v>67</v>
      </c>
      <c r="AH51" s="59">
        <v>7</v>
      </c>
      <c r="AI51" s="10">
        <v>138</v>
      </c>
      <c r="AJ51" s="5">
        <v>20</v>
      </c>
      <c r="AK51" s="10"/>
      <c r="AL51" s="8"/>
      <c r="AM51" s="10"/>
      <c r="AN51" s="35"/>
      <c r="AO51" s="10"/>
      <c r="AP51" s="10"/>
      <c r="AQ51" s="35"/>
      <c r="AR51" s="59"/>
      <c r="AS51" s="59"/>
      <c r="AT51" s="59"/>
      <c r="AU51" s="59"/>
      <c r="AV51" s="62"/>
      <c r="AW51" s="10"/>
      <c r="AX51" s="326"/>
      <c r="AY51" s="5"/>
      <c r="AZ51" s="10"/>
      <c r="BA51" s="8"/>
      <c r="BB51" s="10"/>
      <c r="BC51" s="10"/>
      <c r="BD51" s="10"/>
      <c r="BE51" s="10"/>
      <c r="BF51" s="10"/>
      <c r="BG51" s="10"/>
      <c r="BH51" s="30"/>
      <c r="BI51" s="10"/>
      <c r="BJ51" s="338"/>
      <c r="BK51" s="338"/>
      <c r="BL51" s="303"/>
      <c r="BM51" s="5"/>
      <c r="BN51" s="10"/>
      <c r="BO51" s="8"/>
      <c r="BP51" s="5"/>
      <c r="BQ51" s="10"/>
      <c r="BR51" s="29">
        <v>1989</v>
      </c>
      <c r="BS51" s="64">
        <v>1989</v>
      </c>
      <c r="BT51" s="14">
        <v>7</v>
      </c>
      <c r="BU51" s="10"/>
      <c r="BV51" s="8"/>
      <c r="BW51" s="10"/>
      <c r="BX51" s="10"/>
      <c r="BY51" s="10"/>
      <c r="BZ51" s="10"/>
      <c r="CA51" s="10"/>
      <c r="CB51" s="10"/>
      <c r="CC51" s="221"/>
      <c r="CD51" s="10"/>
      <c r="CE51" s="317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317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38">
        <f t="shared" si="18"/>
        <v>0</v>
      </c>
      <c r="DW51" s="14" t="str">
        <f t="shared" si="19"/>
        <v>PROB</v>
      </c>
    </row>
    <row r="52" spans="1:127" customFormat="1">
      <c r="A52" s="210">
        <v>32613</v>
      </c>
      <c r="B52" s="211"/>
      <c r="C52" s="8">
        <v>4</v>
      </c>
      <c r="D52" s="10">
        <v>10</v>
      </c>
      <c r="E52" s="10">
        <v>3</v>
      </c>
      <c r="F52" s="10">
        <v>0</v>
      </c>
      <c r="G52" s="10">
        <v>2</v>
      </c>
      <c r="H52" s="10">
        <v>3</v>
      </c>
      <c r="I52" s="10">
        <v>0</v>
      </c>
      <c r="J52" s="10">
        <v>0</v>
      </c>
      <c r="K52" s="59">
        <v>0</v>
      </c>
      <c r="L52" s="59">
        <v>0</v>
      </c>
      <c r="M52" s="59">
        <v>0</v>
      </c>
      <c r="N52" s="59">
        <v>0</v>
      </c>
      <c r="O52" s="10">
        <v>4</v>
      </c>
      <c r="P52" s="59">
        <v>0</v>
      </c>
      <c r="Q52" s="10">
        <v>0</v>
      </c>
      <c r="R52" s="10">
        <v>0</v>
      </c>
      <c r="S52" s="35">
        <f t="shared" si="17"/>
        <v>26</v>
      </c>
      <c r="T52" s="10"/>
      <c r="U52" s="10"/>
      <c r="V52" s="10"/>
      <c r="W52" s="10"/>
      <c r="X52" s="5"/>
      <c r="Y52" s="10"/>
      <c r="Z52" s="8"/>
      <c r="AA52" s="10"/>
      <c r="AB52" s="10"/>
      <c r="AC52" s="8"/>
      <c r="AD52" s="10"/>
      <c r="AE52" s="35"/>
      <c r="AF52" s="10"/>
      <c r="AG52" s="8">
        <v>92</v>
      </c>
      <c r="AH52" s="59">
        <v>8</v>
      </c>
      <c r="AI52" s="10">
        <v>134</v>
      </c>
      <c r="AJ52" s="5">
        <v>16</v>
      </c>
      <c r="AK52" s="10"/>
      <c r="AL52" s="8"/>
      <c r="AM52" s="10"/>
      <c r="AN52" s="35"/>
      <c r="AO52" s="10"/>
      <c r="AP52" s="10"/>
      <c r="AQ52" s="35"/>
      <c r="AR52" s="59"/>
      <c r="AS52" s="59"/>
      <c r="AT52" s="59"/>
      <c r="AU52" s="59"/>
      <c r="AV52" s="62"/>
      <c r="AW52" s="10"/>
      <c r="AX52" s="326"/>
      <c r="AY52" s="5"/>
      <c r="AZ52" s="10"/>
      <c r="BA52" s="8"/>
      <c r="BB52" s="10"/>
      <c r="BC52" s="10"/>
      <c r="BD52" s="10"/>
      <c r="BE52" s="10"/>
      <c r="BF52" s="10"/>
      <c r="BG52" s="10"/>
      <c r="BH52" s="30"/>
      <c r="BI52" s="10"/>
      <c r="BJ52" s="338"/>
      <c r="BK52" s="338"/>
      <c r="BL52" s="303"/>
      <c r="BM52" s="5"/>
      <c r="BN52" s="10"/>
      <c r="BO52" s="8"/>
      <c r="BP52" s="5"/>
      <c r="BQ52" s="10"/>
      <c r="BR52" s="29">
        <v>1989</v>
      </c>
      <c r="BS52" s="64">
        <v>1989</v>
      </c>
      <c r="BT52" s="14">
        <v>8</v>
      </c>
      <c r="BU52" s="10"/>
      <c r="BV52" s="8"/>
      <c r="BW52" s="10"/>
      <c r="BX52" s="10"/>
      <c r="BY52" s="10"/>
      <c r="BZ52" s="10"/>
      <c r="CA52" s="10"/>
      <c r="CB52" s="10"/>
      <c r="CC52" s="221"/>
      <c r="CD52" s="10"/>
      <c r="CE52" s="317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317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38">
        <f t="shared" si="18"/>
        <v>0</v>
      </c>
      <c r="DW52" s="14" t="str">
        <f t="shared" si="19"/>
        <v>PROB</v>
      </c>
    </row>
    <row r="53" spans="1:127" customFormat="1">
      <c r="A53" s="210">
        <v>32629</v>
      </c>
      <c r="B53" s="211"/>
      <c r="C53" s="8">
        <v>5</v>
      </c>
      <c r="D53" s="10">
        <v>28</v>
      </c>
      <c r="E53" s="10">
        <v>1</v>
      </c>
      <c r="F53" s="10">
        <v>2</v>
      </c>
      <c r="G53" s="10">
        <v>0</v>
      </c>
      <c r="H53" s="10">
        <v>0</v>
      </c>
      <c r="I53" s="10">
        <v>0</v>
      </c>
      <c r="J53" s="10">
        <v>0</v>
      </c>
      <c r="K53" s="59">
        <v>0</v>
      </c>
      <c r="L53" s="59">
        <v>0</v>
      </c>
      <c r="M53" s="59">
        <v>0</v>
      </c>
      <c r="N53" s="59">
        <v>0</v>
      </c>
      <c r="O53" s="10">
        <v>9</v>
      </c>
      <c r="P53" s="59">
        <v>0</v>
      </c>
      <c r="Q53" s="10">
        <v>0</v>
      </c>
      <c r="R53" s="10">
        <v>0</v>
      </c>
      <c r="S53" s="35">
        <f t="shared" si="17"/>
        <v>45</v>
      </c>
      <c r="T53" s="10"/>
      <c r="U53" s="10"/>
      <c r="V53" s="10"/>
      <c r="W53" s="10"/>
      <c r="X53" s="5"/>
      <c r="Y53" s="10"/>
      <c r="Z53" s="8"/>
      <c r="AA53" s="10"/>
      <c r="AB53" s="10"/>
      <c r="AC53" s="8"/>
      <c r="AD53" s="10"/>
      <c r="AE53" s="35"/>
      <c r="AF53" s="10"/>
      <c r="AG53" s="8">
        <v>114</v>
      </c>
      <c r="AH53" s="59">
        <v>3</v>
      </c>
      <c r="AI53" s="10">
        <v>138</v>
      </c>
      <c r="AJ53" s="5">
        <v>16</v>
      </c>
      <c r="AK53" s="10"/>
      <c r="AL53" s="8"/>
      <c r="AM53" s="10"/>
      <c r="AN53" s="35"/>
      <c r="AO53" s="10"/>
      <c r="AP53" s="10"/>
      <c r="AQ53" s="35"/>
      <c r="AR53" s="59"/>
      <c r="AS53" s="59"/>
      <c r="AT53" s="59"/>
      <c r="AU53" s="59"/>
      <c r="AV53" s="62"/>
      <c r="AW53" s="10"/>
      <c r="AX53" s="326"/>
      <c r="AY53" s="5"/>
      <c r="AZ53" s="10"/>
      <c r="BA53" s="8"/>
      <c r="BB53" s="10"/>
      <c r="BC53" s="10"/>
      <c r="BD53" s="10"/>
      <c r="BE53" s="10"/>
      <c r="BF53" s="10"/>
      <c r="BG53" s="10"/>
      <c r="BH53" s="30"/>
      <c r="BI53" s="10"/>
      <c r="BJ53" s="338"/>
      <c r="BK53" s="338"/>
      <c r="BL53" s="303"/>
      <c r="BM53" s="5"/>
      <c r="BN53" s="10"/>
      <c r="BO53" s="8"/>
      <c r="BP53" s="5"/>
      <c r="BQ53" s="10"/>
      <c r="BR53" s="29">
        <v>1989</v>
      </c>
      <c r="BS53" s="64">
        <v>1989</v>
      </c>
      <c r="BT53" s="14">
        <v>9</v>
      </c>
      <c r="BU53" s="10"/>
      <c r="BV53" s="8"/>
      <c r="BW53" s="10"/>
      <c r="BX53" s="10"/>
      <c r="BY53" s="10"/>
      <c r="BZ53" s="10"/>
      <c r="CA53" s="10"/>
      <c r="CB53" s="10"/>
      <c r="CC53" s="221"/>
      <c r="CD53" s="10"/>
      <c r="CE53" s="317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317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38">
        <f t="shared" si="18"/>
        <v>0</v>
      </c>
      <c r="DW53" s="14" t="str">
        <f t="shared" si="19"/>
        <v>PROB</v>
      </c>
    </row>
    <row r="54" spans="1:127" customFormat="1">
      <c r="A54" s="210">
        <v>32643</v>
      </c>
      <c r="B54" s="211"/>
      <c r="C54" s="8">
        <v>3</v>
      </c>
      <c r="D54" s="10">
        <v>10</v>
      </c>
      <c r="E54" s="10">
        <v>0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59">
        <v>0</v>
      </c>
      <c r="L54" s="59">
        <v>0</v>
      </c>
      <c r="M54" s="59">
        <v>0</v>
      </c>
      <c r="N54" s="59">
        <v>0</v>
      </c>
      <c r="O54" s="10">
        <v>3</v>
      </c>
      <c r="P54" s="59">
        <v>0</v>
      </c>
      <c r="Q54" s="10">
        <v>0</v>
      </c>
      <c r="R54" s="10">
        <v>0</v>
      </c>
      <c r="S54" s="35">
        <f t="shared" si="17"/>
        <v>21</v>
      </c>
      <c r="T54" s="10"/>
      <c r="U54" s="10"/>
      <c r="V54" s="10"/>
      <c r="W54" s="10"/>
      <c r="X54" s="5"/>
      <c r="Y54" s="10"/>
      <c r="Z54" s="8"/>
      <c r="AA54" s="10"/>
      <c r="AB54" s="10"/>
      <c r="AC54" s="8"/>
      <c r="AD54" s="10"/>
      <c r="AE54" s="35"/>
      <c r="AF54" s="10"/>
      <c r="AG54" s="8">
        <v>87</v>
      </c>
      <c r="AH54" s="59">
        <v>9</v>
      </c>
      <c r="AI54" s="10">
        <v>132</v>
      </c>
      <c r="AJ54" s="5">
        <v>14</v>
      </c>
      <c r="AK54" s="10"/>
      <c r="AL54" s="8"/>
      <c r="AM54" s="10"/>
      <c r="AN54" s="35"/>
      <c r="AO54" s="10"/>
      <c r="AP54" s="10"/>
      <c r="AQ54" s="35"/>
      <c r="AR54" s="59"/>
      <c r="AS54" s="59"/>
      <c r="AT54" s="59"/>
      <c r="AU54" s="59"/>
      <c r="AV54" s="62"/>
      <c r="AW54" s="10"/>
      <c r="AX54" s="326"/>
      <c r="AY54" s="5"/>
      <c r="AZ54" s="10"/>
      <c r="BA54" s="8"/>
      <c r="BB54" s="10"/>
      <c r="BC54" s="10"/>
      <c r="BD54" s="10"/>
      <c r="BE54" s="10"/>
      <c r="BF54" s="10"/>
      <c r="BG54" s="10"/>
      <c r="BH54" s="30"/>
      <c r="BI54" s="10"/>
      <c r="BJ54" s="338"/>
      <c r="BK54" s="338"/>
      <c r="BL54" s="303"/>
      <c r="BM54" s="5"/>
      <c r="BN54" s="10"/>
      <c r="BO54" s="8"/>
      <c r="BP54" s="5"/>
      <c r="BQ54" s="10"/>
      <c r="BR54" s="29">
        <v>1989</v>
      </c>
      <c r="BS54" s="64">
        <v>1989</v>
      </c>
      <c r="BT54" s="14">
        <v>10</v>
      </c>
      <c r="BU54" s="10"/>
      <c r="BV54" s="8"/>
      <c r="BW54" s="10"/>
      <c r="BX54" s="10"/>
      <c r="BY54" s="10"/>
      <c r="BZ54" s="10"/>
      <c r="CA54" s="10"/>
      <c r="CB54" s="10"/>
      <c r="CC54" s="221"/>
      <c r="CD54" s="10"/>
      <c r="CE54" s="317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317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38">
        <f t="shared" si="18"/>
        <v>0</v>
      </c>
      <c r="DW54" s="14" t="str">
        <f t="shared" si="19"/>
        <v>PROB</v>
      </c>
    </row>
    <row r="55" spans="1:127" customFormat="1">
      <c r="A55" s="210">
        <v>32660</v>
      </c>
      <c r="B55" s="211"/>
      <c r="C55" s="8">
        <v>13</v>
      </c>
      <c r="D55" s="10">
        <v>11</v>
      </c>
      <c r="E55" s="10">
        <v>1</v>
      </c>
      <c r="F55" s="10">
        <v>1</v>
      </c>
      <c r="G55" s="10">
        <v>0</v>
      </c>
      <c r="H55" s="10">
        <v>1</v>
      </c>
      <c r="I55" s="10">
        <v>0</v>
      </c>
      <c r="J55" s="10">
        <v>0</v>
      </c>
      <c r="K55" s="59">
        <v>0</v>
      </c>
      <c r="L55" s="59">
        <v>0</v>
      </c>
      <c r="M55" s="59">
        <v>0</v>
      </c>
      <c r="N55" s="59">
        <v>0</v>
      </c>
      <c r="O55" s="10">
        <v>12</v>
      </c>
      <c r="P55" s="59">
        <v>0</v>
      </c>
      <c r="Q55" s="10">
        <v>0</v>
      </c>
      <c r="R55" s="10">
        <v>0</v>
      </c>
      <c r="S55" s="35">
        <f t="shared" si="17"/>
        <v>39</v>
      </c>
      <c r="T55" s="10"/>
      <c r="U55" s="10"/>
      <c r="V55" s="10"/>
      <c r="W55" s="10"/>
      <c r="X55" s="5"/>
      <c r="Y55" s="10"/>
      <c r="Z55" s="8"/>
      <c r="AA55" s="10"/>
      <c r="AB55" s="10"/>
      <c r="AC55" s="8"/>
      <c r="AD55" s="10"/>
      <c r="AE55" s="35"/>
      <c r="AF55" s="10"/>
      <c r="AG55" s="8">
        <v>99</v>
      </c>
      <c r="AH55" s="59">
        <v>9</v>
      </c>
      <c r="AI55" s="10">
        <v>128</v>
      </c>
      <c r="AJ55" s="5">
        <v>20</v>
      </c>
      <c r="AK55" s="10"/>
      <c r="AL55" s="8"/>
      <c r="AM55" s="10"/>
      <c r="AN55" s="35"/>
      <c r="AO55" s="10"/>
      <c r="AP55" s="10"/>
      <c r="AQ55" s="35"/>
      <c r="AR55" s="59"/>
      <c r="AS55" s="59"/>
      <c r="AT55" s="59"/>
      <c r="AU55" s="59"/>
      <c r="AV55" s="62"/>
      <c r="AW55" s="10"/>
      <c r="AX55" s="326"/>
      <c r="AY55" s="5"/>
      <c r="AZ55" s="10"/>
      <c r="BA55" s="8"/>
      <c r="BB55" s="10"/>
      <c r="BC55" s="10"/>
      <c r="BD55" s="10"/>
      <c r="BE55" s="10"/>
      <c r="BF55" s="10"/>
      <c r="BG55" s="10"/>
      <c r="BH55" s="30"/>
      <c r="BI55" s="10"/>
      <c r="BJ55" s="338"/>
      <c r="BK55" s="338"/>
      <c r="BL55" s="303"/>
      <c r="BM55" s="5"/>
      <c r="BN55" s="10"/>
      <c r="BO55" s="8"/>
      <c r="BP55" s="5"/>
      <c r="BQ55" s="10"/>
      <c r="BR55" s="29">
        <v>1989</v>
      </c>
      <c r="BS55" s="64">
        <v>1989</v>
      </c>
      <c r="BT55" s="14">
        <v>11</v>
      </c>
      <c r="BU55" s="10"/>
      <c r="BV55" s="8"/>
      <c r="BW55" s="10"/>
      <c r="BX55" s="10"/>
      <c r="BY55" s="10"/>
      <c r="BZ55" s="10"/>
      <c r="CA55" s="10"/>
      <c r="CB55" s="10"/>
      <c r="CC55" s="221"/>
      <c r="CD55" s="10"/>
      <c r="CE55" s="317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317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38">
        <f t="shared" si="18"/>
        <v>0</v>
      </c>
      <c r="DW55" s="14" t="str">
        <f t="shared" si="19"/>
        <v>PROB</v>
      </c>
    </row>
    <row r="56" spans="1:127" customFormat="1">
      <c r="A56" s="210">
        <v>32674</v>
      </c>
      <c r="B56" s="211"/>
      <c r="C56" s="8">
        <v>4</v>
      </c>
      <c r="D56" s="10">
        <v>11</v>
      </c>
      <c r="E56" s="10">
        <v>6</v>
      </c>
      <c r="F56" s="10">
        <v>0</v>
      </c>
      <c r="G56" s="10">
        <v>3</v>
      </c>
      <c r="H56" s="10">
        <v>2</v>
      </c>
      <c r="I56" s="10">
        <v>0</v>
      </c>
      <c r="J56" s="10">
        <v>0</v>
      </c>
      <c r="K56" s="59">
        <v>0</v>
      </c>
      <c r="L56" s="59">
        <v>0</v>
      </c>
      <c r="M56" s="59">
        <v>0</v>
      </c>
      <c r="N56" s="59">
        <v>0</v>
      </c>
      <c r="O56" s="10">
        <v>14</v>
      </c>
      <c r="P56" s="59">
        <v>0</v>
      </c>
      <c r="Q56" s="10">
        <v>0</v>
      </c>
      <c r="R56" s="10">
        <v>0</v>
      </c>
      <c r="S56" s="35">
        <f t="shared" si="17"/>
        <v>40</v>
      </c>
      <c r="T56" s="10"/>
      <c r="U56" s="10"/>
      <c r="V56" s="10"/>
      <c r="W56" s="10"/>
      <c r="X56" s="5"/>
      <c r="Y56" s="10"/>
      <c r="Z56" s="8"/>
      <c r="AA56" s="10"/>
      <c r="AB56" s="10"/>
      <c r="AC56" s="8"/>
      <c r="AD56" s="10"/>
      <c r="AE56" s="35"/>
      <c r="AF56" s="10"/>
      <c r="AG56" s="8">
        <v>80</v>
      </c>
      <c r="AH56" s="59">
        <v>4</v>
      </c>
      <c r="AI56" s="10">
        <v>132</v>
      </c>
      <c r="AJ56" s="5">
        <v>20</v>
      </c>
      <c r="AK56" s="10"/>
      <c r="AL56" s="8"/>
      <c r="AM56" s="10"/>
      <c r="AN56" s="35"/>
      <c r="AO56" s="10"/>
      <c r="AP56" s="10"/>
      <c r="AQ56" s="35"/>
      <c r="AR56" s="59"/>
      <c r="AS56" s="59"/>
      <c r="AT56" s="59"/>
      <c r="AU56" s="59"/>
      <c r="AV56" s="62"/>
      <c r="AW56" s="10"/>
      <c r="AX56" s="326"/>
      <c r="AY56" s="5"/>
      <c r="AZ56" s="10"/>
      <c r="BA56" s="8"/>
      <c r="BB56" s="10"/>
      <c r="BC56" s="10"/>
      <c r="BD56" s="10"/>
      <c r="BE56" s="10"/>
      <c r="BF56" s="10"/>
      <c r="BG56" s="10"/>
      <c r="BH56" s="30"/>
      <c r="BI56" s="10"/>
      <c r="BJ56" s="338"/>
      <c r="BK56" s="338"/>
      <c r="BL56" s="303"/>
      <c r="BM56" s="5"/>
      <c r="BN56" s="10"/>
      <c r="BO56" s="8"/>
      <c r="BP56" s="5"/>
      <c r="BQ56" s="10"/>
      <c r="BR56" s="29">
        <v>1989</v>
      </c>
      <c r="BS56" s="64">
        <v>1989</v>
      </c>
      <c r="BT56" s="14">
        <v>12</v>
      </c>
      <c r="BU56" s="10"/>
      <c r="BV56" s="8"/>
      <c r="BW56" s="10"/>
      <c r="BX56" s="10"/>
      <c r="BY56" s="10"/>
      <c r="BZ56" s="10"/>
      <c r="CA56" s="10"/>
      <c r="CB56" s="10"/>
      <c r="CC56" s="221"/>
      <c r="CD56" s="10"/>
      <c r="CE56" s="317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317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38">
        <f t="shared" si="18"/>
        <v>0</v>
      </c>
      <c r="DW56" s="14" t="str">
        <f t="shared" si="19"/>
        <v>PROB</v>
      </c>
    </row>
    <row r="57" spans="1:127" s="6" customFormat="1" ht="12" thickBot="1">
      <c r="A57" s="212" t="s">
        <v>57</v>
      </c>
      <c r="B57" s="83"/>
      <c r="C57" s="52">
        <f t="shared" ref="C57:X57" si="20">SUM(C33:C56)</f>
        <v>137</v>
      </c>
      <c r="D57" s="53">
        <f t="shared" si="20"/>
        <v>375</v>
      </c>
      <c r="E57" s="53">
        <f t="shared" si="20"/>
        <v>46</v>
      </c>
      <c r="F57" s="53">
        <f t="shared" si="20"/>
        <v>26</v>
      </c>
      <c r="G57" s="53">
        <f t="shared" si="20"/>
        <v>26</v>
      </c>
      <c r="H57" s="53">
        <f t="shared" si="20"/>
        <v>42</v>
      </c>
      <c r="I57" s="53">
        <f>SUM(I33:I56)</f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ref="M57:N57" si="21">SUM(M33:M56)</f>
        <v>0</v>
      </c>
      <c r="N57" s="53">
        <f t="shared" si="21"/>
        <v>0</v>
      </c>
      <c r="O57" s="53">
        <f>SUM(O33:O56)</f>
        <v>170</v>
      </c>
      <c r="P57" s="53">
        <f t="shared" si="20"/>
        <v>0</v>
      </c>
      <c r="Q57" s="53">
        <f t="shared" si="20"/>
        <v>0</v>
      </c>
      <c r="R57" s="53">
        <f t="shared" si="20"/>
        <v>2</v>
      </c>
      <c r="S57" s="55">
        <f t="shared" si="20"/>
        <v>824</v>
      </c>
      <c r="T57" s="53">
        <f t="shared" si="20"/>
        <v>0</v>
      </c>
      <c r="U57" s="53">
        <f t="shared" si="20"/>
        <v>0</v>
      </c>
      <c r="V57" s="53">
        <f t="shared" ref="V57" si="22">SUM(V33:V56)</f>
        <v>0</v>
      </c>
      <c r="W57" s="53">
        <f t="shared" si="20"/>
        <v>0</v>
      </c>
      <c r="X57" s="54">
        <f t="shared" si="20"/>
        <v>0</v>
      </c>
      <c r="Z57" s="52">
        <f>SUM(Z33:Z56)</f>
        <v>0</v>
      </c>
      <c r="AA57" s="53">
        <f>SUM(AA33:AA56)</f>
        <v>0</v>
      </c>
      <c r="AB57" s="53"/>
      <c r="AC57" s="52">
        <f>SUM(AC33:AC56)</f>
        <v>0</v>
      </c>
      <c r="AD57" s="53">
        <f>SUM(AD33:AD56)</f>
        <v>0</v>
      </c>
      <c r="AE57" s="55">
        <f>SUM(AE33:AE56)</f>
        <v>0</v>
      </c>
      <c r="AG57" s="52">
        <f>SUM(AG33:AG56)</f>
        <v>1987</v>
      </c>
      <c r="AH57" s="53">
        <f>SUM(AH33:AH56)</f>
        <v>402</v>
      </c>
      <c r="AI57" s="53">
        <f>SUM(AI33:AI56)</f>
        <v>3348</v>
      </c>
      <c r="AJ57" s="54">
        <f>SUM(AJ33:AJ56)</f>
        <v>422</v>
      </c>
      <c r="AL57" s="52">
        <f t="shared" ref="AL57:AV57" si="23">SUM(AL33:AL56)</f>
        <v>0</v>
      </c>
      <c r="AM57" s="53">
        <f t="shared" si="23"/>
        <v>0</v>
      </c>
      <c r="AN57" s="55">
        <f t="shared" si="23"/>
        <v>0</v>
      </c>
      <c r="AO57" s="53">
        <f t="shared" si="23"/>
        <v>0</v>
      </c>
      <c r="AP57" s="53">
        <f t="shared" si="23"/>
        <v>0</v>
      </c>
      <c r="AQ57" s="55">
        <f t="shared" si="23"/>
        <v>0</v>
      </c>
      <c r="AR57" s="53">
        <f t="shared" si="23"/>
        <v>0</v>
      </c>
      <c r="AS57" s="53">
        <f t="shared" si="23"/>
        <v>0</v>
      </c>
      <c r="AT57" s="53">
        <f t="shared" si="23"/>
        <v>0</v>
      </c>
      <c r="AU57" s="53">
        <f t="shared" si="23"/>
        <v>0</v>
      </c>
      <c r="AV57" s="54">
        <f t="shared" si="23"/>
        <v>0</v>
      </c>
      <c r="AX57" s="329"/>
      <c r="AY57" s="54"/>
      <c r="BA57" s="52">
        <f t="shared" ref="BA57:BM57" si="24">SUM(BA33:BA56)</f>
        <v>0</v>
      </c>
      <c r="BB57" s="53">
        <f t="shared" si="24"/>
        <v>0</v>
      </c>
      <c r="BC57" s="53">
        <f t="shared" ref="BC57:BL57" si="25">SUM(BC33:BC56)</f>
        <v>0</v>
      </c>
      <c r="BD57" s="53">
        <f t="shared" si="25"/>
        <v>0</v>
      </c>
      <c r="BE57" s="53">
        <f t="shared" si="25"/>
        <v>0</v>
      </c>
      <c r="BF57" s="53">
        <f t="shared" si="25"/>
        <v>0</v>
      </c>
      <c r="BG57" s="53">
        <f t="shared" si="25"/>
        <v>0</v>
      </c>
      <c r="BH57" s="55"/>
      <c r="BI57" s="53">
        <f t="shared" si="25"/>
        <v>0</v>
      </c>
      <c r="BJ57" s="339"/>
      <c r="BK57" s="339"/>
      <c r="BL57" s="53">
        <f t="shared" si="25"/>
        <v>0</v>
      </c>
      <c r="BM57" s="54">
        <f t="shared" si="24"/>
        <v>3942</v>
      </c>
      <c r="BO57" s="52">
        <f>SUM(BO33:BO56)</f>
        <v>0</v>
      </c>
      <c r="BP57" s="54">
        <f>SUM(BP33:BP56)</f>
        <v>0</v>
      </c>
      <c r="BR57" s="81" t="s">
        <v>58</v>
      </c>
      <c r="BS57" s="80"/>
      <c r="BT57" s="82"/>
      <c r="BV57" s="52">
        <f>SUM(BV33:BV56)</f>
        <v>0</v>
      </c>
      <c r="BW57" s="53">
        <f>SUM(BW33:BW56)</f>
        <v>0</v>
      </c>
      <c r="BX57" s="53">
        <f t="shared" ref="BX57:BY57" si="26">SUM(BX33:BX56)</f>
        <v>0</v>
      </c>
      <c r="BY57" s="53">
        <f t="shared" si="26"/>
        <v>0</v>
      </c>
      <c r="BZ57" s="53">
        <f t="shared" ref="BZ57:DU57" si="27">SUM(BZ33:BZ56)</f>
        <v>0</v>
      </c>
      <c r="CA57" s="53">
        <f t="shared" si="27"/>
        <v>0</v>
      </c>
      <c r="CB57" s="53">
        <f t="shared" si="27"/>
        <v>0</v>
      </c>
      <c r="CC57" s="53">
        <f t="shared" si="27"/>
        <v>0</v>
      </c>
      <c r="CD57" s="53">
        <f t="shared" si="27"/>
        <v>0</v>
      </c>
      <c r="CE57" s="53">
        <f t="shared" si="27"/>
        <v>0</v>
      </c>
      <c r="CF57" s="53">
        <f t="shared" si="27"/>
        <v>0</v>
      </c>
      <c r="CG57" s="53">
        <f t="shared" si="27"/>
        <v>0</v>
      </c>
      <c r="CH57" s="53">
        <f t="shared" si="27"/>
        <v>0</v>
      </c>
      <c r="CI57" s="53">
        <f t="shared" si="27"/>
        <v>0</v>
      </c>
      <c r="CJ57" s="53">
        <f t="shared" si="27"/>
        <v>0</v>
      </c>
      <c r="CK57" s="53">
        <f t="shared" si="27"/>
        <v>0</v>
      </c>
      <c r="CL57" s="53">
        <f t="shared" si="27"/>
        <v>0</v>
      </c>
      <c r="CM57" s="53">
        <f t="shared" si="27"/>
        <v>0</v>
      </c>
      <c r="CN57" s="53">
        <f t="shared" si="27"/>
        <v>0</v>
      </c>
      <c r="CO57" s="53">
        <f t="shared" si="27"/>
        <v>0</v>
      </c>
      <c r="CP57" s="53">
        <f t="shared" si="27"/>
        <v>0</v>
      </c>
      <c r="CQ57" s="53">
        <f t="shared" si="27"/>
        <v>0</v>
      </c>
      <c r="CR57" s="53">
        <f t="shared" si="27"/>
        <v>0</v>
      </c>
      <c r="CS57" s="53">
        <f t="shared" si="27"/>
        <v>0</v>
      </c>
      <c r="CT57" s="53">
        <f t="shared" si="27"/>
        <v>0</v>
      </c>
      <c r="CU57" s="53">
        <f t="shared" si="27"/>
        <v>0</v>
      </c>
      <c r="CV57" s="53">
        <f t="shared" si="27"/>
        <v>0</v>
      </c>
      <c r="CW57" s="53">
        <f t="shared" si="27"/>
        <v>0</v>
      </c>
      <c r="CX57" s="53">
        <f t="shared" si="27"/>
        <v>0</v>
      </c>
      <c r="CY57" s="53">
        <f t="shared" si="27"/>
        <v>0</v>
      </c>
      <c r="CZ57" s="53">
        <f t="shared" si="27"/>
        <v>0</v>
      </c>
      <c r="DA57" s="53">
        <f t="shared" si="27"/>
        <v>0</v>
      </c>
      <c r="DB57" s="53">
        <f t="shared" si="27"/>
        <v>0</v>
      </c>
      <c r="DC57" s="53">
        <f t="shared" si="27"/>
        <v>0</v>
      </c>
      <c r="DD57" s="53">
        <f t="shared" si="27"/>
        <v>0</v>
      </c>
      <c r="DE57" s="53">
        <f t="shared" si="27"/>
        <v>0</v>
      </c>
      <c r="DF57" s="53">
        <f t="shared" si="27"/>
        <v>0</v>
      </c>
      <c r="DG57" s="53">
        <f t="shared" si="27"/>
        <v>0</v>
      </c>
      <c r="DH57" s="53">
        <f t="shared" si="27"/>
        <v>0</v>
      </c>
      <c r="DI57" s="53">
        <f t="shared" si="27"/>
        <v>0</v>
      </c>
      <c r="DJ57" s="53">
        <f t="shared" si="27"/>
        <v>0</v>
      </c>
      <c r="DK57" s="53">
        <f t="shared" si="27"/>
        <v>0</v>
      </c>
      <c r="DL57" s="53">
        <f t="shared" si="27"/>
        <v>0</v>
      </c>
      <c r="DM57" s="53">
        <f t="shared" si="27"/>
        <v>0</v>
      </c>
      <c r="DN57" s="53">
        <f t="shared" si="27"/>
        <v>0</v>
      </c>
      <c r="DO57" s="53">
        <f t="shared" si="27"/>
        <v>0</v>
      </c>
      <c r="DP57" s="53">
        <f t="shared" si="27"/>
        <v>0</v>
      </c>
      <c r="DQ57" s="53">
        <f t="shared" si="27"/>
        <v>0</v>
      </c>
      <c r="DR57" s="53">
        <f t="shared" si="27"/>
        <v>0</v>
      </c>
      <c r="DS57" s="53">
        <f t="shared" si="27"/>
        <v>0</v>
      </c>
      <c r="DT57" s="53">
        <f t="shared" si="27"/>
        <v>0</v>
      </c>
      <c r="DU57" s="53">
        <f t="shared" si="27"/>
        <v>0</v>
      </c>
      <c r="DV57" s="54">
        <f t="shared" si="18"/>
        <v>0</v>
      </c>
      <c r="DW57" s="48"/>
    </row>
    <row r="58" spans="1:127" s="6" customFormat="1" ht="12" thickTop="1">
      <c r="A58" s="213" t="s">
        <v>59</v>
      </c>
      <c r="B58" s="24"/>
      <c r="C58" s="39">
        <f t="shared" ref="C58:R58" si="28">ROUND(IF(ISERROR(AVERAGE(C33:C56)),0,AVERAGE(C33:C56)),0)</f>
        <v>6</v>
      </c>
      <c r="D58" s="24">
        <f t="shared" si="28"/>
        <v>16</v>
      </c>
      <c r="E58" s="24">
        <f t="shared" si="28"/>
        <v>2</v>
      </c>
      <c r="F58" s="24">
        <f t="shared" si="28"/>
        <v>1</v>
      </c>
      <c r="G58" s="24">
        <f t="shared" si="28"/>
        <v>1</v>
      </c>
      <c r="H58" s="24">
        <f t="shared" si="28"/>
        <v>2</v>
      </c>
      <c r="I58" s="24">
        <f>ROUND(IF(ISERROR(AVERAGE(I33:I56)),0,AVERAGE(I33:I56)),0)</f>
        <v>0</v>
      </c>
      <c r="J58" s="24">
        <f t="shared" si="28"/>
        <v>0</v>
      </c>
      <c r="K58" s="24">
        <f t="shared" si="28"/>
        <v>0</v>
      </c>
      <c r="L58" s="24">
        <f t="shared" si="28"/>
        <v>0</v>
      </c>
      <c r="M58" s="24">
        <f t="shared" ref="M58:N58" si="29">ROUND(IF(ISERROR(AVERAGE(M33:M56)),0,AVERAGE(M33:M56)),0)</f>
        <v>0</v>
      </c>
      <c r="N58" s="24">
        <f t="shared" si="29"/>
        <v>0</v>
      </c>
      <c r="O58" s="24">
        <f>ROUND(IF(ISERROR(AVERAGE(O33:O56)),0,AVERAGE(O33:O56)),0)</f>
        <v>7</v>
      </c>
      <c r="P58" s="24">
        <f t="shared" si="28"/>
        <v>0</v>
      </c>
      <c r="Q58" s="24">
        <f t="shared" si="28"/>
        <v>0</v>
      </c>
      <c r="R58" s="24">
        <f t="shared" si="28"/>
        <v>0</v>
      </c>
      <c r="S58" s="31">
        <f>SUM(C58:R58)</f>
        <v>35</v>
      </c>
      <c r="T58" s="24">
        <f>ROUND(IF(ISERROR(AVERAGE(T33:T56)),0,AVERAGE(T33:T56)),0)</f>
        <v>0</v>
      </c>
      <c r="U58" s="24">
        <f>ROUND(IF(ISERROR(AVERAGE(U33:U56)),0,AVERAGE(U33:U56)),0)</f>
        <v>0</v>
      </c>
      <c r="V58" s="24">
        <f>ROUND(IF(ISERROR(AVERAGE(V33:V56)),0,AVERAGE(V33:V56)),0)</f>
        <v>0</v>
      </c>
      <c r="W58" s="24">
        <f>ROUND(IF(ISERROR(AVERAGE(W33:W56)),0,AVERAGE(W33:W56)),0)</f>
        <v>0</v>
      </c>
      <c r="X58" s="40">
        <f>ROUND(IF(ISERROR(AVERAGE(X33:X56)),0,AVERAGE(X33:X56)),0)</f>
        <v>0</v>
      </c>
      <c r="Z58" s="39">
        <f>ROUND(IF(ISERROR(AVERAGE(Z33:Z56)),0,AVERAGE(Z33:Z56)),0)</f>
        <v>0</v>
      </c>
      <c r="AA58" s="24">
        <f>ROUND(IF(ISERROR(AVERAGE(AA33:AA56)),0,AVERAGE(AA33:AA56)),0)</f>
        <v>0</v>
      </c>
      <c r="AB58" s="24"/>
      <c r="AC58" s="39">
        <f>ROUND(IF(ISERROR(AVERAGE(AC33:AC56)),0,AVERAGE(AC33:AC56)),0)</f>
        <v>0</v>
      </c>
      <c r="AD58" s="24">
        <f>ROUND(IF(ISERROR(AVERAGE(AD33:AD56)),0,AVERAGE(AD33:AD56)),0)</f>
        <v>0</v>
      </c>
      <c r="AE58" s="31">
        <f>SUM(AC58:AD58)</f>
        <v>0</v>
      </c>
      <c r="AG58" s="39">
        <f>ROUND(IF(ISERROR(AVERAGE(AG33:AG56)),0,AVERAGE(AG33:AG56)),0)</f>
        <v>83</v>
      </c>
      <c r="AH58" s="24">
        <f>ROUND(IF(ISERROR(AVERAGE(AH33:AH56)),0,AVERAGE(AH33:AH56)),0)</f>
        <v>17</v>
      </c>
      <c r="AI58" s="24">
        <f>ROUND(IF(ISERROR(AVERAGE(AI33:AI56)),0,AVERAGE(AI33:AI56)),0)</f>
        <v>140</v>
      </c>
      <c r="AJ58" s="40">
        <f>ROUND(IF(ISERROR(AVERAGE(AJ33:AJ56)),0,AVERAGE(AJ33:AJ56)),0)</f>
        <v>18</v>
      </c>
      <c r="AL58" s="39">
        <f>ROUND(IF(ISERROR(AVERAGE(AL33:AL56)),0,AVERAGE(AL33:AL56)),0)</f>
        <v>0</v>
      </c>
      <c r="AM58" s="24">
        <f>ROUND(IF(ISERROR(AVERAGE(AM33:AM56)),0,AVERAGE(AM33:AM56)),0)</f>
        <v>0</v>
      </c>
      <c r="AN58" s="31">
        <f>SUM(AL58:AM58)</f>
        <v>0</v>
      </c>
      <c r="AO58" s="24">
        <f>ROUND(IF(ISERROR(AVERAGE(AO33:AO56)),0,AVERAGE(AO33:AO56)),0)</f>
        <v>0</v>
      </c>
      <c r="AP58" s="24">
        <f>ROUND(IF(ISERROR(AVERAGE(AP33:AP56)),0,AVERAGE(AP33:AP56)),0)</f>
        <v>0</v>
      </c>
      <c r="AQ58" s="31">
        <f>SUM(AO58:AP58)</f>
        <v>0</v>
      </c>
      <c r="AR58" s="24">
        <f>ROUND(IF(ISERROR(AVERAGE(AR33:AR56)),0,AVERAGE(AR33:AR56)),0)</f>
        <v>0</v>
      </c>
      <c r="AS58" s="24">
        <f>ROUND(IF(ISERROR(AVERAGE(AS33:AS56)),0,AVERAGE(AS33:AS56)),0)</f>
        <v>0</v>
      </c>
      <c r="AT58" s="24">
        <f>ROUND(IF(ISERROR(AVERAGE(AT33:AT56)),0,AVERAGE(AT33:AT56)),0)</f>
        <v>0</v>
      </c>
      <c r="AU58" s="24">
        <f>ROUND(IF(ISERROR(AVERAGE(AU33:AU56)),0,AVERAGE(AU33:AU56)),0)</f>
        <v>0</v>
      </c>
      <c r="AV58" s="40">
        <f>ROUND(IF(ISERROR(AVERAGE(AV33:AV56)),0,AVERAGE(AV33:AV56)),0)</f>
        <v>0</v>
      </c>
      <c r="AX58" s="330"/>
      <c r="AY58" s="40"/>
      <c r="BA58" s="39">
        <f t="shared" ref="BA58:BM58" si="30">ROUND(IF(ISERROR(AVERAGE(BA33:BA56)),0,AVERAGE(BA33:BA56)),0)</f>
        <v>0</v>
      </c>
      <c r="BB58" s="24">
        <f t="shared" si="30"/>
        <v>0</v>
      </c>
      <c r="BC58" s="24">
        <f t="shared" ref="BC58:BL58" si="31">ROUND(IF(ISERROR(AVERAGE(BC33:BC56)),0,AVERAGE(BC33:BC56)),0)</f>
        <v>0</v>
      </c>
      <c r="BD58" s="24">
        <f t="shared" si="31"/>
        <v>0</v>
      </c>
      <c r="BE58" s="24">
        <f t="shared" si="31"/>
        <v>0</v>
      </c>
      <c r="BF58" s="24">
        <f t="shared" si="31"/>
        <v>0</v>
      </c>
      <c r="BG58" s="24">
        <f t="shared" si="31"/>
        <v>0</v>
      </c>
      <c r="BH58" s="31"/>
      <c r="BI58" s="24">
        <f t="shared" si="31"/>
        <v>0</v>
      </c>
      <c r="BJ58" s="340"/>
      <c r="BK58" s="340"/>
      <c r="BL58" s="24">
        <f t="shared" si="31"/>
        <v>0</v>
      </c>
      <c r="BM58" s="40">
        <f t="shared" si="30"/>
        <v>3942</v>
      </c>
      <c r="BO58" s="39">
        <f>ROUND(IF(ISERROR(AVERAGE(BO33:BO56)),0,AVERAGE(BO33:BO56)),0)</f>
        <v>0</v>
      </c>
      <c r="BP58" s="40">
        <f>ROUND(IF(ISERROR(AVERAGE(BP33:BP56)),0,AVERAGE(BP33:BP56)),0)</f>
        <v>0</v>
      </c>
      <c r="BR58" s="65" t="s">
        <v>60</v>
      </c>
      <c r="BS58" s="19"/>
      <c r="BT58" s="14"/>
      <c r="BV58" s="39">
        <f>ROUND(IF(ISERROR(AVERAGE(BV33:BV56)),0,AVERAGE(BV33:BV56)),0)</f>
        <v>0</v>
      </c>
      <c r="BW58" s="24">
        <f>ROUND(IF(ISERROR(AVERAGE(BW33:BW56)),0,AVERAGE(BW33:BW56)),0)</f>
        <v>0</v>
      </c>
      <c r="BX58" s="24">
        <f t="shared" ref="BX58:BY58" si="32">ROUND(IF(ISERROR(AVERAGE(BX33:BX56)),0,AVERAGE(BX33:BX56)),0)</f>
        <v>0</v>
      </c>
      <c r="BY58" s="24">
        <f t="shared" si="32"/>
        <v>0</v>
      </c>
      <c r="BZ58" s="24">
        <f t="shared" ref="BZ58:DU58" si="33">ROUND(IF(ISERROR(AVERAGE(BZ33:BZ56)),0,AVERAGE(BZ33:BZ56)),0)</f>
        <v>0</v>
      </c>
      <c r="CA58" s="24">
        <f t="shared" si="33"/>
        <v>0</v>
      </c>
      <c r="CB58" s="24">
        <f t="shared" si="33"/>
        <v>0</v>
      </c>
      <c r="CC58" s="24">
        <f t="shared" si="33"/>
        <v>0</v>
      </c>
      <c r="CD58" s="24">
        <f t="shared" si="33"/>
        <v>0</v>
      </c>
      <c r="CE58" s="24">
        <f t="shared" si="33"/>
        <v>0</v>
      </c>
      <c r="CF58" s="24">
        <f t="shared" si="33"/>
        <v>0</v>
      </c>
      <c r="CG58" s="24">
        <f t="shared" si="33"/>
        <v>0</v>
      </c>
      <c r="CH58" s="24">
        <f t="shared" si="33"/>
        <v>0</v>
      </c>
      <c r="CI58" s="24">
        <f t="shared" si="33"/>
        <v>0</v>
      </c>
      <c r="CJ58" s="24">
        <f t="shared" si="33"/>
        <v>0</v>
      </c>
      <c r="CK58" s="24">
        <f t="shared" si="33"/>
        <v>0</v>
      </c>
      <c r="CL58" s="24">
        <f t="shared" si="33"/>
        <v>0</v>
      </c>
      <c r="CM58" s="24">
        <f t="shared" si="33"/>
        <v>0</v>
      </c>
      <c r="CN58" s="24">
        <f t="shared" si="33"/>
        <v>0</v>
      </c>
      <c r="CO58" s="24">
        <f t="shared" si="33"/>
        <v>0</v>
      </c>
      <c r="CP58" s="24">
        <f t="shared" si="33"/>
        <v>0</v>
      </c>
      <c r="CQ58" s="24">
        <f t="shared" si="33"/>
        <v>0</v>
      </c>
      <c r="CR58" s="24">
        <f t="shared" si="33"/>
        <v>0</v>
      </c>
      <c r="CS58" s="24">
        <f t="shared" si="33"/>
        <v>0</v>
      </c>
      <c r="CT58" s="24">
        <f t="shared" si="33"/>
        <v>0</v>
      </c>
      <c r="CU58" s="24">
        <f t="shared" si="33"/>
        <v>0</v>
      </c>
      <c r="CV58" s="24">
        <f t="shared" si="33"/>
        <v>0</v>
      </c>
      <c r="CW58" s="24">
        <f t="shared" si="33"/>
        <v>0</v>
      </c>
      <c r="CX58" s="24">
        <f t="shared" si="33"/>
        <v>0</v>
      </c>
      <c r="CY58" s="24">
        <f t="shared" si="33"/>
        <v>0</v>
      </c>
      <c r="CZ58" s="24">
        <f t="shared" si="33"/>
        <v>0</v>
      </c>
      <c r="DA58" s="24">
        <f t="shared" si="33"/>
        <v>0</v>
      </c>
      <c r="DB58" s="24">
        <f t="shared" si="33"/>
        <v>0</v>
      </c>
      <c r="DC58" s="24">
        <f t="shared" si="33"/>
        <v>0</v>
      </c>
      <c r="DD58" s="24">
        <f t="shared" si="33"/>
        <v>0</v>
      </c>
      <c r="DE58" s="24">
        <f t="shared" si="33"/>
        <v>0</v>
      </c>
      <c r="DF58" s="24">
        <f t="shared" si="33"/>
        <v>0</v>
      </c>
      <c r="DG58" s="24">
        <f t="shared" si="33"/>
        <v>0</v>
      </c>
      <c r="DH58" s="24">
        <f t="shared" si="33"/>
        <v>0</v>
      </c>
      <c r="DI58" s="24">
        <f t="shared" si="33"/>
        <v>0</v>
      </c>
      <c r="DJ58" s="24">
        <f t="shared" si="33"/>
        <v>0</v>
      </c>
      <c r="DK58" s="24">
        <f t="shared" si="33"/>
        <v>0</v>
      </c>
      <c r="DL58" s="24">
        <f t="shared" si="33"/>
        <v>0</v>
      </c>
      <c r="DM58" s="24">
        <f t="shared" si="33"/>
        <v>0</v>
      </c>
      <c r="DN58" s="24">
        <f t="shared" si="33"/>
        <v>0</v>
      </c>
      <c r="DO58" s="24">
        <f t="shared" si="33"/>
        <v>0</v>
      </c>
      <c r="DP58" s="24">
        <f t="shared" si="33"/>
        <v>0</v>
      </c>
      <c r="DQ58" s="24">
        <f t="shared" si="33"/>
        <v>0</v>
      </c>
      <c r="DR58" s="24">
        <f t="shared" si="33"/>
        <v>0</v>
      </c>
      <c r="DS58" s="24">
        <f t="shared" si="33"/>
        <v>0</v>
      </c>
      <c r="DT58" s="24">
        <f t="shared" si="33"/>
        <v>0</v>
      </c>
      <c r="DU58" s="24">
        <f t="shared" si="33"/>
        <v>0</v>
      </c>
      <c r="DV58" s="18"/>
      <c r="DW58" s="48"/>
    </row>
    <row r="59" spans="1:127" customFormat="1">
      <c r="A59" s="210" t="s">
        <v>61</v>
      </c>
      <c r="B59" s="211"/>
      <c r="C59" s="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30">
        <f>MEDIAN(S33:S56)</f>
        <v>35</v>
      </c>
      <c r="T59" s="10"/>
      <c r="U59" s="10"/>
      <c r="V59" s="10"/>
      <c r="W59" s="10"/>
      <c r="X59" s="5"/>
      <c r="Y59" s="10"/>
      <c r="Z59" s="8"/>
      <c r="AA59" s="10" t="str">
        <f>IF(ISERROR(MEDIAN(AA33:AA56)),"",MEDIAN(AA33:AA56))</f>
        <v/>
      </c>
      <c r="AB59" s="10"/>
      <c r="AC59" s="8"/>
      <c r="AD59" s="10"/>
      <c r="AE59" s="30"/>
      <c r="AF59" s="10"/>
      <c r="AG59" s="8"/>
      <c r="AH59" s="10"/>
      <c r="AI59" s="10">
        <f>IF(ISERROR(MEDIAN(AI33:AI56)),"",MEDIAN(AI33:AI56))</f>
        <v>137</v>
      </c>
      <c r="AJ59" s="5">
        <f>IF(ISERROR(MEDIAN(AJ33:AJ56)),"",MEDIAN(AJ33:AJ56))</f>
        <v>16</v>
      </c>
      <c r="AK59" s="10"/>
      <c r="AL59" s="8"/>
      <c r="AM59" s="10"/>
      <c r="AN59" s="30"/>
      <c r="AO59" s="10"/>
      <c r="AP59" s="10"/>
      <c r="AQ59" s="30"/>
      <c r="AR59" s="10"/>
      <c r="AS59" s="10"/>
      <c r="AT59" s="10"/>
      <c r="AU59" s="10"/>
      <c r="AV59" s="5"/>
      <c r="AW59" s="10"/>
      <c r="AX59" s="326"/>
      <c r="AY59" s="5"/>
      <c r="AZ59" s="10"/>
      <c r="BA59" s="8" t="str">
        <f>IF(ISERROR(MEDIAN(BA33:BA56)),"",MEDIAN(BA33:BA56))</f>
        <v/>
      </c>
      <c r="BB59" s="10"/>
      <c r="BC59" s="10"/>
      <c r="BD59" s="10"/>
      <c r="BE59" s="10"/>
      <c r="BF59" s="10"/>
      <c r="BG59" s="10"/>
      <c r="BH59" s="30"/>
      <c r="BI59" s="10"/>
      <c r="BJ59" s="338"/>
      <c r="BK59" s="338"/>
      <c r="BL59" s="303"/>
      <c r="BM59" s="5"/>
      <c r="BN59" s="10"/>
      <c r="BO59" s="8"/>
      <c r="BP59" s="5"/>
      <c r="BQ59" s="10"/>
      <c r="BR59" s="65"/>
      <c r="BS59" s="19"/>
      <c r="BT59" s="14"/>
      <c r="BU59" s="10"/>
      <c r="BV59" s="8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5"/>
      <c r="DW59" s="21"/>
    </row>
    <row r="60" spans="1:127" customFormat="1" ht="12" thickBot="1">
      <c r="A60" s="214" t="s">
        <v>62</v>
      </c>
      <c r="B60" s="195"/>
      <c r="C60" s="4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32">
        <f>MODE(S33:S56)</f>
        <v>40</v>
      </c>
      <c r="T60" s="22"/>
      <c r="U60" s="22"/>
      <c r="V60" s="22"/>
      <c r="W60" s="22"/>
      <c r="X60" s="42"/>
      <c r="Y60" s="22"/>
      <c r="Z60" s="41"/>
      <c r="AA60" s="22"/>
      <c r="AB60" s="22"/>
      <c r="AC60" s="41"/>
      <c r="AD60" s="22"/>
      <c r="AE60" s="32"/>
      <c r="AF60" s="22"/>
      <c r="AG60" s="41"/>
      <c r="AH60" s="22"/>
      <c r="AI60" s="22">
        <f>IF(ISERROR(MODE(AI33:AI56)),"",MODE(AI33:AI56))</f>
        <v>138</v>
      </c>
      <c r="AJ60" s="42">
        <f>IF(ISERROR(MODE(AJ33:AJ56)),"",MODE(AJ33:AJ56))</f>
        <v>16</v>
      </c>
      <c r="AK60" s="22"/>
      <c r="AL60" s="41"/>
      <c r="AM60" s="22"/>
      <c r="AN60" s="32"/>
      <c r="AO60" s="22"/>
      <c r="AP60" s="22"/>
      <c r="AQ60" s="32"/>
      <c r="AR60" s="22"/>
      <c r="AS60" s="22"/>
      <c r="AT60" s="22"/>
      <c r="AU60" s="22"/>
      <c r="AV60" s="42"/>
      <c r="AW60" s="22"/>
      <c r="AX60" s="331"/>
      <c r="AY60" s="42"/>
      <c r="AZ60" s="22"/>
      <c r="BA60" s="41"/>
      <c r="BB60" s="22"/>
      <c r="BC60" s="22"/>
      <c r="BD60" s="22"/>
      <c r="BE60" s="22"/>
      <c r="BF60" s="22"/>
      <c r="BG60" s="22"/>
      <c r="BH60" s="32"/>
      <c r="BI60" s="22"/>
      <c r="BJ60" s="341"/>
      <c r="BK60" s="341"/>
      <c r="BL60" s="306"/>
      <c r="BM60" s="42"/>
      <c r="BN60" s="22"/>
      <c r="BO60" s="41"/>
      <c r="BP60" s="42"/>
      <c r="BQ60" s="22"/>
      <c r="BR60" s="66"/>
      <c r="BS60" s="51"/>
      <c r="BT60" s="67"/>
      <c r="BU60" s="22"/>
      <c r="BV60" s="41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42"/>
      <c r="DW60" s="23"/>
    </row>
    <row r="61" spans="1:127" customFormat="1" ht="12" thickBot="1">
      <c r="A61" s="194"/>
      <c r="B61" s="194"/>
      <c r="C61" s="8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30"/>
      <c r="T61" s="10"/>
      <c r="U61" s="10"/>
      <c r="V61" s="10"/>
      <c r="W61" s="10"/>
      <c r="X61" s="5"/>
      <c r="Z61" s="8"/>
      <c r="AA61" s="10"/>
      <c r="AB61" s="10"/>
      <c r="AC61" s="8"/>
      <c r="AD61" s="10"/>
      <c r="AE61" s="30"/>
      <c r="AG61" s="8"/>
      <c r="AH61" s="10"/>
      <c r="AI61" s="10"/>
      <c r="AJ61" s="5"/>
      <c r="AL61" s="8"/>
      <c r="AM61" s="10"/>
      <c r="AN61" s="30"/>
      <c r="AO61" s="10"/>
      <c r="AP61" s="10"/>
      <c r="AQ61" s="30"/>
      <c r="AR61" s="10"/>
      <c r="AS61" s="10"/>
      <c r="AT61" s="10"/>
      <c r="AU61" s="10"/>
      <c r="AV61" s="5"/>
      <c r="AX61" s="326"/>
      <c r="AY61" s="5"/>
      <c r="AZ61" s="324"/>
      <c r="BA61" s="8"/>
      <c r="BB61" s="10"/>
      <c r="BC61" s="10"/>
      <c r="BD61" s="10"/>
      <c r="BE61" s="10"/>
      <c r="BF61" s="10"/>
      <c r="BG61" s="10"/>
      <c r="BH61" s="30"/>
      <c r="BI61" s="10"/>
      <c r="BJ61" s="338"/>
      <c r="BK61" s="338"/>
      <c r="BL61" s="303"/>
      <c r="BM61" s="5"/>
      <c r="BO61" s="8"/>
      <c r="BP61" s="5"/>
      <c r="BR61" s="65"/>
      <c r="BS61" s="19"/>
      <c r="BT61" s="14"/>
      <c r="BV61" s="8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5"/>
    </row>
    <row r="62" spans="1:127" customFormat="1">
      <c r="A62" s="208">
        <v>32690</v>
      </c>
      <c r="B62" s="209"/>
      <c r="C62" s="36">
        <v>7</v>
      </c>
      <c r="D62" s="9">
        <v>14</v>
      </c>
      <c r="E62" s="9">
        <v>10</v>
      </c>
      <c r="F62" s="9">
        <v>0</v>
      </c>
      <c r="G62" s="9">
        <v>2</v>
      </c>
      <c r="H62" s="9">
        <v>3</v>
      </c>
      <c r="I62" s="9">
        <v>0</v>
      </c>
      <c r="J62" s="9">
        <v>0</v>
      </c>
      <c r="K62" s="9">
        <v>0</v>
      </c>
      <c r="L62" s="9">
        <v>0</v>
      </c>
      <c r="M62" s="9"/>
      <c r="N62" s="9"/>
      <c r="O62" s="9">
        <v>8</v>
      </c>
      <c r="P62" s="9">
        <v>0</v>
      </c>
      <c r="Q62" s="9">
        <v>0</v>
      </c>
      <c r="R62" s="9">
        <v>0</v>
      </c>
      <c r="S62" s="33">
        <f t="shared" ref="S62:S85" si="34">SUM(C62:R62)</f>
        <v>44</v>
      </c>
      <c r="T62" s="9"/>
      <c r="U62" s="9"/>
      <c r="V62" s="9"/>
      <c r="W62" s="9"/>
      <c r="X62" s="37"/>
      <c r="Y62" s="9"/>
      <c r="Z62" s="36"/>
      <c r="AA62" s="9"/>
      <c r="AB62" s="9"/>
      <c r="AC62" s="36"/>
      <c r="AD62" s="9"/>
      <c r="AE62" s="33"/>
      <c r="AF62" s="9"/>
      <c r="AG62" s="36">
        <v>104</v>
      </c>
      <c r="AH62" s="9">
        <v>13</v>
      </c>
      <c r="AI62" s="9">
        <v>142</v>
      </c>
      <c r="AJ62" s="37">
        <v>16</v>
      </c>
      <c r="AK62" s="9"/>
      <c r="AL62" s="36"/>
      <c r="AM62" s="9"/>
      <c r="AN62" s="33"/>
      <c r="AO62" s="9"/>
      <c r="AP62" s="9"/>
      <c r="AQ62" s="33"/>
      <c r="AR62" s="92"/>
      <c r="AS62" s="92"/>
      <c r="AT62" s="92"/>
      <c r="AU62" s="92"/>
      <c r="AV62" s="93"/>
      <c r="AW62" s="9"/>
      <c r="AX62" s="325"/>
      <c r="AY62" s="37"/>
      <c r="AZ62" s="9"/>
      <c r="BA62" s="36"/>
      <c r="BB62" s="9"/>
      <c r="BC62" s="9"/>
      <c r="BD62" s="9"/>
      <c r="BE62" s="9"/>
      <c r="BF62" s="9"/>
      <c r="BG62" s="9"/>
      <c r="BH62" s="350"/>
      <c r="BI62" s="9"/>
      <c r="BJ62" s="337"/>
      <c r="BK62" s="337"/>
      <c r="BL62" s="302"/>
      <c r="BM62" s="37"/>
      <c r="BN62" s="9"/>
      <c r="BO62" s="36"/>
      <c r="BP62" s="37"/>
      <c r="BQ62" s="9"/>
      <c r="BR62" s="74">
        <v>1990</v>
      </c>
      <c r="BS62" s="75">
        <v>1989</v>
      </c>
      <c r="BT62" s="13">
        <v>13</v>
      </c>
      <c r="BU62" s="9"/>
      <c r="BV62" s="36"/>
      <c r="BW62" s="9"/>
      <c r="BX62" s="9"/>
      <c r="BY62" s="9"/>
      <c r="BZ62" s="9"/>
      <c r="CA62" s="9"/>
      <c r="CB62" s="9"/>
      <c r="CC62" s="223"/>
      <c r="CD62" s="9"/>
      <c r="CE62" s="220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220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44">
        <f t="shared" ref="DV62:DV86" si="35">SUM(BV62:DU62)</f>
        <v>0</v>
      </c>
      <c r="DW62" s="13" t="str">
        <f t="shared" ref="DW62:DW85" si="36">IF(DV62=S62,"","PROB")</f>
        <v>PROB</v>
      </c>
    </row>
    <row r="63" spans="1:127" customFormat="1">
      <c r="A63" s="210">
        <v>32704</v>
      </c>
      <c r="B63" s="211"/>
      <c r="C63" s="8">
        <v>3</v>
      </c>
      <c r="D63" s="10">
        <v>11</v>
      </c>
      <c r="E63" s="10">
        <v>2</v>
      </c>
      <c r="F63" s="10">
        <v>0</v>
      </c>
      <c r="G63" s="10">
        <v>3</v>
      </c>
      <c r="H63" s="10">
        <v>2</v>
      </c>
      <c r="I63" s="10">
        <v>0</v>
      </c>
      <c r="J63" s="10">
        <v>0</v>
      </c>
      <c r="K63" s="59">
        <v>0</v>
      </c>
      <c r="L63" s="59">
        <v>0</v>
      </c>
      <c r="M63" s="59"/>
      <c r="N63" s="59"/>
      <c r="O63" s="10">
        <v>3</v>
      </c>
      <c r="P63" s="59">
        <v>0</v>
      </c>
      <c r="Q63" s="10">
        <v>0</v>
      </c>
      <c r="R63" s="10">
        <v>0</v>
      </c>
      <c r="S63" s="35">
        <f t="shared" si="34"/>
        <v>24</v>
      </c>
      <c r="T63" s="10"/>
      <c r="U63" s="10"/>
      <c r="V63" s="10"/>
      <c r="W63" s="10"/>
      <c r="X63" s="5"/>
      <c r="Y63" s="10"/>
      <c r="Z63" s="8"/>
      <c r="AA63" s="10"/>
      <c r="AB63" s="10"/>
      <c r="AC63" s="8"/>
      <c r="AD63" s="10"/>
      <c r="AE63" s="35"/>
      <c r="AF63" s="10"/>
      <c r="AG63" s="8">
        <v>103</v>
      </c>
      <c r="AH63" s="10">
        <v>2</v>
      </c>
      <c r="AI63" s="10">
        <v>140</v>
      </c>
      <c r="AJ63" s="5">
        <v>16</v>
      </c>
      <c r="AK63" s="10"/>
      <c r="AL63" s="8"/>
      <c r="AM63" s="10"/>
      <c r="AN63" s="35"/>
      <c r="AO63" s="10"/>
      <c r="AP63" s="10"/>
      <c r="AQ63" s="35"/>
      <c r="AR63" s="59"/>
      <c r="AS63" s="59"/>
      <c r="AT63" s="59"/>
      <c r="AU63" s="59"/>
      <c r="AV63" s="62"/>
      <c r="AW63" s="10"/>
      <c r="AX63" s="326"/>
      <c r="AY63" s="5"/>
      <c r="AZ63" s="10"/>
      <c r="BA63" s="8"/>
      <c r="BB63" s="10"/>
      <c r="BC63" s="10"/>
      <c r="BD63" s="10"/>
      <c r="BE63" s="10"/>
      <c r="BF63" s="10"/>
      <c r="BG63" s="10"/>
      <c r="BH63" s="30"/>
      <c r="BI63" s="10"/>
      <c r="BJ63" s="338"/>
      <c r="BK63" s="338"/>
      <c r="BL63" s="303"/>
      <c r="BM63" s="5"/>
      <c r="BN63" s="10"/>
      <c r="BO63" s="8"/>
      <c r="BP63" s="5"/>
      <c r="BQ63" s="10"/>
      <c r="BR63" s="29">
        <v>1990</v>
      </c>
      <c r="BS63" s="64">
        <v>1989</v>
      </c>
      <c r="BT63" s="14">
        <v>14</v>
      </c>
      <c r="BU63" s="10"/>
      <c r="BV63" s="8"/>
      <c r="BW63" s="10"/>
      <c r="BX63" s="10"/>
      <c r="BY63" s="10"/>
      <c r="BZ63" s="10"/>
      <c r="CA63" s="10"/>
      <c r="CB63" s="10"/>
      <c r="CC63" s="221"/>
      <c r="CD63" s="10"/>
      <c r="CE63" s="317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317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38">
        <f t="shared" si="35"/>
        <v>0</v>
      </c>
      <c r="DW63" s="14" t="str">
        <f t="shared" si="36"/>
        <v>PROB</v>
      </c>
    </row>
    <row r="64" spans="1:127" customFormat="1">
      <c r="A64" s="210">
        <v>32721</v>
      </c>
      <c r="B64" s="211"/>
      <c r="C64" s="8">
        <v>13</v>
      </c>
      <c r="D64" s="10">
        <v>23</v>
      </c>
      <c r="E64" s="10">
        <v>1</v>
      </c>
      <c r="F64" s="10">
        <v>1</v>
      </c>
      <c r="G64" s="10">
        <v>2</v>
      </c>
      <c r="H64" s="10">
        <v>8</v>
      </c>
      <c r="I64" s="10">
        <v>0</v>
      </c>
      <c r="J64" s="10">
        <v>0</v>
      </c>
      <c r="K64" s="59">
        <v>0</v>
      </c>
      <c r="L64" s="59">
        <v>0</v>
      </c>
      <c r="M64" s="59"/>
      <c r="N64" s="59"/>
      <c r="O64" s="10">
        <v>1</v>
      </c>
      <c r="P64" s="59">
        <v>0</v>
      </c>
      <c r="Q64" s="10">
        <v>0</v>
      </c>
      <c r="R64" s="10">
        <v>0</v>
      </c>
      <c r="S64" s="35">
        <f t="shared" si="34"/>
        <v>49</v>
      </c>
      <c r="T64" s="10"/>
      <c r="U64" s="10"/>
      <c r="V64" s="10"/>
      <c r="W64" s="10"/>
      <c r="X64" s="5"/>
      <c r="Y64" s="10"/>
      <c r="Z64" s="8"/>
      <c r="AA64" s="10"/>
      <c r="AB64" s="10"/>
      <c r="AC64" s="8"/>
      <c r="AD64" s="10"/>
      <c r="AE64" s="35"/>
      <c r="AF64" s="10"/>
      <c r="AG64" s="8">
        <v>141</v>
      </c>
      <c r="AH64" s="10">
        <v>8</v>
      </c>
      <c r="AI64" s="10">
        <v>180</v>
      </c>
      <c r="AJ64" s="5">
        <v>24</v>
      </c>
      <c r="AK64" s="10"/>
      <c r="AL64" s="8"/>
      <c r="AM64" s="10"/>
      <c r="AN64" s="35"/>
      <c r="AO64" s="10"/>
      <c r="AP64" s="10"/>
      <c r="AQ64" s="35"/>
      <c r="AR64" s="59"/>
      <c r="AS64" s="59"/>
      <c r="AT64" s="59"/>
      <c r="AU64" s="59"/>
      <c r="AV64" s="62"/>
      <c r="AW64" s="10"/>
      <c r="AX64" s="326"/>
      <c r="AY64" s="5"/>
      <c r="AZ64" s="10"/>
      <c r="BA64" s="8"/>
      <c r="BB64" s="10"/>
      <c r="BC64" s="10"/>
      <c r="BD64" s="10"/>
      <c r="BE64" s="10"/>
      <c r="BF64" s="10"/>
      <c r="BG64" s="10"/>
      <c r="BH64" s="30"/>
      <c r="BI64" s="10"/>
      <c r="BJ64" s="338"/>
      <c r="BK64" s="338"/>
      <c r="BL64" s="303"/>
      <c r="BM64" s="5"/>
      <c r="BN64" s="10"/>
      <c r="BO64" s="8"/>
      <c r="BP64" s="5"/>
      <c r="BQ64" s="10"/>
      <c r="BR64" s="29">
        <v>1990</v>
      </c>
      <c r="BS64" s="64">
        <v>1989</v>
      </c>
      <c r="BT64" s="14">
        <v>15</v>
      </c>
      <c r="BU64" s="10"/>
      <c r="BV64" s="8"/>
      <c r="BW64" s="10"/>
      <c r="BX64" s="10"/>
      <c r="BY64" s="10"/>
      <c r="BZ64" s="10"/>
      <c r="CA64" s="10"/>
      <c r="CB64" s="10"/>
      <c r="CC64" s="221"/>
      <c r="CD64" s="10"/>
      <c r="CE64" s="317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317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38">
        <f t="shared" si="35"/>
        <v>0</v>
      </c>
      <c r="DW64" s="14" t="str">
        <f t="shared" si="36"/>
        <v>PROB</v>
      </c>
    </row>
    <row r="65" spans="1:127" customFormat="1">
      <c r="A65" s="210">
        <v>32735</v>
      </c>
      <c r="B65" s="211"/>
      <c r="C65" s="8">
        <v>2</v>
      </c>
      <c r="D65" s="10">
        <v>18</v>
      </c>
      <c r="E65" s="10">
        <v>2</v>
      </c>
      <c r="F65" s="10">
        <v>2</v>
      </c>
      <c r="G65" s="10">
        <v>3</v>
      </c>
      <c r="H65" s="10">
        <v>1</v>
      </c>
      <c r="I65" s="10">
        <v>0</v>
      </c>
      <c r="J65" s="10">
        <v>0</v>
      </c>
      <c r="K65" s="59">
        <v>0</v>
      </c>
      <c r="L65" s="59">
        <v>0</v>
      </c>
      <c r="M65" s="59"/>
      <c r="N65" s="59"/>
      <c r="O65" s="10">
        <v>3</v>
      </c>
      <c r="P65" s="59">
        <v>0</v>
      </c>
      <c r="Q65" s="10">
        <v>0</v>
      </c>
      <c r="R65" s="10">
        <v>0</v>
      </c>
      <c r="S65" s="35">
        <f t="shared" si="34"/>
        <v>31</v>
      </c>
      <c r="T65" s="10"/>
      <c r="U65" s="10"/>
      <c r="V65" s="10"/>
      <c r="W65" s="10"/>
      <c r="X65" s="5"/>
      <c r="Y65" s="10"/>
      <c r="Z65" s="8"/>
      <c r="AA65" s="10"/>
      <c r="AB65" s="10"/>
      <c r="AC65" s="8"/>
      <c r="AD65" s="10"/>
      <c r="AE65" s="35"/>
      <c r="AF65" s="10"/>
      <c r="AG65" s="8">
        <v>87</v>
      </c>
      <c r="AH65" s="59">
        <v>5</v>
      </c>
      <c r="AI65" s="10">
        <v>136</v>
      </c>
      <c r="AJ65" s="5">
        <v>16</v>
      </c>
      <c r="AK65" s="10"/>
      <c r="AL65" s="8"/>
      <c r="AM65" s="10"/>
      <c r="AN65" s="35"/>
      <c r="AO65" s="10"/>
      <c r="AP65" s="10"/>
      <c r="AQ65" s="35"/>
      <c r="AR65" s="59"/>
      <c r="AS65" s="59"/>
      <c r="AT65" s="59"/>
      <c r="AU65" s="59"/>
      <c r="AV65" s="62"/>
      <c r="AW65" s="10"/>
      <c r="AX65" s="326"/>
      <c r="AY65" s="5"/>
      <c r="AZ65" s="10"/>
      <c r="BA65" s="8"/>
      <c r="BB65" s="10"/>
      <c r="BC65" s="10"/>
      <c r="BD65" s="10"/>
      <c r="BE65" s="10"/>
      <c r="BF65" s="10"/>
      <c r="BG65" s="10"/>
      <c r="BH65" s="30"/>
      <c r="BI65" s="10"/>
      <c r="BJ65" s="338"/>
      <c r="BK65" s="338"/>
      <c r="BL65" s="303"/>
      <c r="BM65" s="5"/>
      <c r="BN65" s="10"/>
      <c r="BO65" s="8"/>
      <c r="BP65" s="5"/>
      <c r="BQ65" s="10"/>
      <c r="BR65" s="29">
        <v>1990</v>
      </c>
      <c r="BS65" s="64">
        <v>1989</v>
      </c>
      <c r="BT65" s="14">
        <v>16</v>
      </c>
      <c r="BU65" s="10"/>
      <c r="BV65" s="8"/>
      <c r="BW65" s="10"/>
      <c r="BX65" s="10"/>
      <c r="BY65" s="10"/>
      <c r="BZ65" s="10"/>
      <c r="CA65" s="10"/>
      <c r="CB65" s="10"/>
      <c r="CC65" s="221"/>
      <c r="CD65" s="10"/>
      <c r="CE65" s="317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317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38">
        <f t="shared" si="35"/>
        <v>0</v>
      </c>
      <c r="DW65" s="14" t="str">
        <f t="shared" si="36"/>
        <v>PROB</v>
      </c>
    </row>
    <row r="66" spans="1:127" customFormat="1">
      <c r="A66" s="210">
        <v>32752</v>
      </c>
      <c r="B66" s="211"/>
      <c r="C66" s="8">
        <v>4</v>
      </c>
      <c r="D66" s="10">
        <v>15</v>
      </c>
      <c r="E66" s="10">
        <v>5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59">
        <v>0</v>
      </c>
      <c r="L66" s="59">
        <v>0</v>
      </c>
      <c r="M66" s="59"/>
      <c r="N66" s="59"/>
      <c r="O66" s="10">
        <v>6</v>
      </c>
      <c r="P66" s="59">
        <v>0</v>
      </c>
      <c r="Q66" s="10">
        <v>0</v>
      </c>
      <c r="R66" s="10">
        <v>0</v>
      </c>
      <c r="S66" s="35">
        <f t="shared" si="34"/>
        <v>31</v>
      </c>
      <c r="T66" s="10"/>
      <c r="U66" s="10"/>
      <c r="V66" s="10"/>
      <c r="W66" s="10"/>
      <c r="X66" s="5"/>
      <c r="Y66" s="10"/>
      <c r="Z66" s="8"/>
      <c r="AA66" s="10"/>
      <c r="AB66" s="10"/>
      <c r="AC66" s="8"/>
      <c r="AD66" s="10"/>
      <c r="AE66" s="35"/>
      <c r="AF66" s="10"/>
      <c r="AG66" s="8">
        <v>103</v>
      </c>
      <c r="AH66" s="59">
        <v>9</v>
      </c>
      <c r="AI66" s="10">
        <v>140</v>
      </c>
      <c r="AJ66" s="5">
        <v>16</v>
      </c>
      <c r="AK66" s="10"/>
      <c r="AL66" s="8"/>
      <c r="AM66" s="10"/>
      <c r="AN66" s="35"/>
      <c r="AO66" s="10"/>
      <c r="AP66" s="10"/>
      <c r="AQ66" s="35"/>
      <c r="AR66" s="59"/>
      <c r="AS66" s="59"/>
      <c r="AT66" s="59"/>
      <c r="AU66" s="59"/>
      <c r="AV66" s="62"/>
      <c r="AW66" s="10"/>
      <c r="AX66" s="326"/>
      <c r="AY66" s="5"/>
      <c r="AZ66" s="10"/>
      <c r="BA66" s="8"/>
      <c r="BB66" s="10"/>
      <c r="BC66" s="10"/>
      <c r="BD66" s="10"/>
      <c r="BE66" s="10"/>
      <c r="BF66" s="10"/>
      <c r="BG66" s="10"/>
      <c r="BH66" s="30"/>
      <c r="BI66" s="10"/>
      <c r="BJ66" s="338"/>
      <c r="BK66" s="338"/>
      <c r="BL66" s="303"/>
      <c r="BM66" s="5"/>
      <c r="BN66" s="10"/>
      <c r="BO66" s="8"/>
      <c r="BP66" s="5"/>
      <c r="BQ66" s="10"/>
      <c r="BR66" s="29">
        <v>1990</v>
      </c>
      <c r="BS66" s="64">
        <v>1989</v>
      </c>
      <c r="BT66" s="14">
        <v>17</v>
      </c>
      <c r="BU66" s="10"/>
      <c r="BV66" s="8"/>
      <c r="BW66" s="10"/>
      <c r="BX66" s="10"/>
      <c r="BY66" s="10"/>
      <c r="BZ66" s="10"/>
      <c r="CA66" s="10"/>
      <c r="CB66" s="10"/>
      <c r="CC66" s="221"/>
      <c r="CD66" s="10"/>
      <c r="CE66" s="317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317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38">
        <f t="shared" si="35"/>
        <v>0</v>
      </c>
      <c r="DW66" s="14" t="str">
        <f t="shared" si="36"/>
        <v>PROB</v>
      </c>
    </row>
    <row r="67" spans="1:127" customFormat="1">
      <c r="A67" s="210">
        <v>32766</v>
      </c>
      <c r="B67" s="211"/>
      <c r="C67" s="8">
        <v>3</v>
      </c>
      <c r="D67" s="10">
        <v>8</v>
      </c>
      <c r="E67" s="10">
        <v>5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59">
        <v>0</v>
      </c>
      <c r="L67" s="59">
        <v>0</v>
      </c>
      <c r="M67" s="59"/>
      <c r="N67" s="59"/>
      <c r="O67" s="10">
        <v>6</v>
      </c>
      <c r="P67" s="59">
        <v>0</v>
      </c>
      <c r="Q67" s="10">
        <v>0</v>
      </c>
      <c r="R67" s="10">
        <v>0</v>
      </c>
      <c r="S67" s="35">
        <f t="shared" si="34"/>
        <v>26</v>
      </c>
      <c r="T67" s="10"/>
      <c r="U67" s="10"/>
      <c r="V67" s="10"/>
      <c r="W67" s="10"/>
      <c r="X67" s="5"/>
      <c r="Y67" s="10"/>
      <c r="Z67" s="8"/>
      <c r="AA67" s="10"/>
      <c r="AB67" s="10"/>
      <c r="AC67" s="8"/>
      <c r="AD67" s="10"/>
      <c r="AE67" s="35"/>
      <c r="AF67" s="10"/>
      <c r="AG67" s="8">
        <v>55</v>
      </c>
      <c r="AH67" s="59">
        <v>6</v>
      </c>
      <c r="AI67" s="10">
        <v>126</v>
      </c>
      <c r="AJ67" s="5">
        <v>20</v>
      </c>
      <c r="AK67" s="10"/>
      <c r="AL67" s="8"/>
      <c r="AM67" s="10"/>
      <c r="AN67" s="35"/>
      <c r="AO67" s="10"/>
      <c r="AP67" s="10"/>
      <c r="AQ67" s="35"/>
      <c r="AR67" s="59"/>
      <c r="AS67" s="59"/>
      <c r="AT67" s="59"/>
      <c r="AU67" s="59"/>
      <c r="AV67" s="62"/>
      <c r="AW67" s="10"/>
      <c r="AX67" s="326"/>
      <c r="AY67" s="5"/>
      <c r="AZ67" s="10"/>
      <c r="BA67" s="8"/>
      <c r="BB67" s="10"/>
      <c r="BC67" s="10"/>
      <c r="BD67" s="10"/>
      <c r="BE67" s="10"/>
      <c r="BF67" s="10"/>
      <c r="BG67" s="10"/>
      <c r="BH67" s="30"/>
      <c r="BI67" s="10"/>
      <c r="BJ67" s="338"/>
      <c r="BK67" s="338"/>
      <c r="BL67" s="303"/>
      <c r="BM67" s="5"/>
      <c r="BN67" s="10"/>
      <c r="BO67" s="8"/>
      <c r="BP67" s="5"/>
      <c r="BQ67" s="10"/>
      <c r="BR67" s="29">
        <v>1990</v>
      </c>
      <c r="BS67" s="64">
        <v>1989</v>
      </c>
      <c r="BT67" s="14">
        <v>18</v>
      </c>
      <c r="BU67" s="10"/>
      <c r="BV67" s="8"/>
      <c r="BW67" s="10"/>
      <c r="BX67" s="10"/>
      <c r="BY67" s="10"/>
      <c r="BZ67" s="10"/>
      <c r="CA67" s="10"/>
      <c r="CB67" s="10"/>
      <c r="CC67" s="221"/>
      <c r="CD67" s="10"/>
      <c r="CE67" s="317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317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38">
        <f t="shared" si="35"/>
        <v>0</v>
      </c>
      <c r="DW67" s="14" t="str">
        <f t="shared" si="36"/>
        <v>PROB</v>
      </c>
    </row>
    <row r="68" spans="1:127" customFormat="1">
      <c r="A68" s="210">
        <v>32782</v>
      </c>
      <c r="B68" s="211"/>
      <c r="C68" s="8">
        <v>7</v>
      </c>
      <c r="D68" s="10">
        <v>7</v>
      </c>
      <c r="E68" s="10">
        <v>0</v>
      </c>
      <c r="F68" s="10">
        <v>0</v>
      </c>
      <c r="G68" s="10">
        <v>1</v>
      </c>
      <c r="H68" s="10">
        <v>1</v>
      </c>
      <c r="I68" s="10">
        <v>0</v>
      </c>
      <c r="J68" s="10">
        <v>0</v>
      </c>
      <c r="K68" s="59">
        <v>0</v>
      </c>
      <c r="L68" s="59">
        <v>0</v>
      </c>
      <c r="M68" s="59"/>
      <c r="N68" s="59"/>
      <c r="O68" s="10">
        <v>9</v>
      </c>
      <c r="P68" s="59">
        <v>0</v>
      </c>
      <c r="Q68" s="10">
        <v>0</v>
      </c>
      <c r="R68" s="10">
        <v>0</v>
      </c>
      <c r="S68" s="35">
        <f t="shared" si="34"/>
        <v>25</v>
      </c>
      <c r="T68" s="10"/>
      <c r="U68" s="10"/>
      <c r="V68" s="10"/>
      <c r="W68" s="10"/>
      <c r="X68" s="5"/>
      <c r="Y68" s="10"/>
      <c r="Z68" s="8"/>
      <c r="AA68" s="10"/>
      <c r="AB68" s="10"/>
      <c r="AC68" s="8"/>
      <c r="AD68" s="10"/>
      <c r="AE68" s="35"/>
      <c r="AF68" s="10"/>
      <c r="AG68" s="8">
        <v>39</v>
      </c>
      <c r="AH68" s="59">
        <v>23</v>
      </c>
      <c r="AI68" s="10">
        <v>88</v>
      </c>
      <c r="AJ68" s="5">
        <v>20</v>
      </c>
      <c r="AK68" s="10"/>
      <c r="AL68" s="8"/>
      <c r="AM68" s="10"/>
      <c r="AN68" s="35"/>
      <c r="AO68" s="10"/>
      <c r="AP68" s="10"/>
      <c r="AQ68" s="35"/>
      <c r="AR68" s="59"/>
      <c r="AS68" s="59"/>
      <c r="AT68" s="59"/>
      <c r="AU68" s="59"/>
      <c r="AV68" s="62"/>
      <c r="AW68" s="10"/>
      <c r="AX68" s="326"/>
      <c r="AY68" s="5"/>
      <c r="AZ68" s="10"/>
      <c r="BA68" s="8"/>
      <c r="BB68" s="10"/>
      <c r="BC68" s="10"/>
      <c r="BD68" s="10"/>
      <c r="BE68" s="10"/>
      <c r="BF68" s="10"/>
      <c r="BG68" s="10"/>
      <c r="BH68" s="30"/>
      <c r="BI68" s="10"/>
      <c r="BJ68" s="338"/>
      <c r="BK68" s="338"/>
      <c r="BL68" s="303"/>
      <c r="BM68" s="5"/>
      <c r="BN68" s="10"/>
      <c r="BO68" s="8"/>
      <c r="BP68" s="5"/>
      <c r="BQ68" s="10"/>
      <c r="BR68" s="29">
        <v>1990</v>
      </c>
      <c r="BS68" s="64">
        <v>1989</v>
      </c>
      <c r="BT68" s="14">
        <v>19</v>
      </c>
      <c r="BU68" s="10"/>
      <c r="BV68" s="8"/>
      <c r="BW68" s="10"/>
      <c r="BX68" s="10"/>
      <c r="BY68" s="10"/>
      <c r="BZ68" s="10"/>
      <c r="CA68" s="10"/>
      <c r="CB68" s="10"/>
      <c r="CC68" s="221"/>
      <c r="CD68" s="10"/>
      <c r="CE68" s="317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317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38">
        <f t="shared" si="35"/>
        <v>0</v>
      </c>
      <c r="DW68" s="14" t="str">
        <f t="shared" si="36"/>
        <v>PROB</v>
      </c>
    </row>
    <row r="69" spans="1:127" customFormat="1">
      <c r="A69" s="210">
        <v>32796</v>
      </c>
      <c r="B69" s="211"/>
      <c r="C69" s="8">
        <v>6</v>
      </c>
      <c r="D69" s="10">
        <v>8</v>
      </c>
      <c r="E69" s="10">
        <v>0</v>
      </c>
      <c r="F69" s="10">
        <v>0</v>
      </c>
      <c r="G69" s="10">
        <v>1</v>
      </c>
      <c r="H69" s="10">
        <v>2</v>
      </c>
      <c r="I69" s="10">
        <v>0</v>
      </c>
      <c r="J69" s="10">
        <v>0</v>
      </c>
      <c r="K69" s="59">
        <v>0</v>
      </c>
      <c r="L69" s="59">
        <v>0</v>
      </c>
      <c r="M69" s="59"/>
      <c r="N69" s="59"/>
      <c r="O69" s="10">
        <v>12</v>
      </c>
      <c r="P69" s="59">
        <v>0</v>
      </c>
      <c r="Q69" s="10">
        <v>0</v>
      </c>
      <c r="R69" s="10">
        <v>0</v>
      </c>
      <c r="S69" s="35">
        <f t="shared" si="34"/>
        <v>29</v>
      </c>
      <c r="T69" s="10"/>
      <c r="U69" s="10"/>
      <c r="V69" s="10"/>
      <c r="W69" s="10"/>
      <c r="X69" s="5"/>
      <c r="Y69" s="10"/>
      <c r="Z69" s="8"/>
      <c r="AA69" s="10"/>
      <c r="AB69" s="10"/>
      <c r="AC69" s="8"/>
      <c r="AD69" s="10"/>
      <c r="AE69" s="35"/>
      <c r="AF69" s="10"/>
      <c r="AG69" s="8">
        <v>56</v>
      </c>
      <c r="AH69" s="59">
        <v>26</v>
      </c>
      <c r="AI69" s="10">
        <v>110</v>
      </c>
      <c r="AJ69" s="5">
        <v>16</v>
      </c>
      <c r="AK69" s="10"/>
      <c r="AL69" s="8"/>
      <c r="AM69" s="10"/>
      <c r="AN69" s="35"/>
      <c r="AO69" s="10"/>
      <c r="AP69" s="10"/>
      <c r="AQ69" s="35"/>
      <c r="AR69" s="59"/>
      <c r="AS69" s="59"/>
      <c r="AT69" s="59"/>
      <c r="AU69" s="59"/>
      <c r="AV69" s="62"/>
      <c r="AW69" s="10"/>
      <c r="AX69" s="326"/>
      <c r="AY69" s="5"/>
      <c r="AZ69" s="10"/>
      <c r="BA69" s="8"/>
      <c r="BB69" s="10"/>
      <c r="BC69" s="10"/>
      <c r="BD69" s="10"/>
      <c r="BE69" s="10"/>
      <c r="BF69" s="10"/>
      <c r="BG69" s="10"/>
      <c r="BH69" s="30"/>
      <c r="BI69" s="10"/>
      <c r="BJ69" s="338"/>
      <c r="BK69" s="338"/>
      <c r="BL69" s="303"/>
      <c r="BM69" s="5"/>
      <c r="BN69" s="10"/>
      <c r="BO69" s="8"/>
      <c r="BP69" s="5"/>
      <c r="BQ69" s="10"/>
      <c r="BR69" s="29">
        <v>1990</v>
      </c>
      <c r="BS69" s="64">
        <v>1989</v>
      </c>
      <c r="BT69" s="14">
        <v>20</v>
      </c>
      <c r="BU69" s="10"/>
      <c r="BV69" s="8"/>
      <c r="BW69" s="10"/>
      <c r="BX69" s="10"/>
      <c r="BY69" s="10"/>
      <c r="BZ69" s="10"/>
      <c r="CA69" s="10"/>
      <c r="CB69" s="10"/>
      <c r="CC69" s="221"/>
      <c r="CD69" s="10"/>
      <c r="CE69" s="317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317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38">
        <f t="shared" si="35"/>
        <v>0</v>
      </c>
      <c r="DW69" s="14" t="str">
        <f t="shared" si="36"/>
        <v>PROB</v>
      </c>
    </row>
    <row r="70" spans="1:127" customFormat="1">
      <c r="A70" s="210">
        <v>32813</v>
      </c>
      <c r="B70" s="211"/>
      <c r="C70" s="8">
        <v>7</v>
      </c>
      <c r="D70" s="10">
        <v>7</v>
      </c>
      <c r="E70" s="10">
        <v>2</v>
      </c>
      <c r="F70" s="10">
        <v>0</v>
      </c>
      <c r="G70" s="10">
        <v>1</v>
      </c>
      <c r="H70" s="10">
        <v>1</v>
      </c>
      <c r="I70" s="10">
        <v>0</v>
      </c>
      <c r="J70" s="10">
        <v>0</v>
      </c>
      <c r="K70" s="59">
        <v>0</v>
      </c>
      <c r="L70" s="59">
        <v>0</v>
      </c>
      <c r="M70" s="59"/>
      <c r="N70" s="59"/>
      <c r="O70" s="10">
        <v>3</v>
      </c>
      <c r="P70" s="59">
        <v>0</v>
      </c>
      <c r="Q70" s="10">
        <v>0</v>
      </c>
      <c r="R70" s="10">
        <v>0</v>
      </c>
      <c r="S70" s="35">
        <f t="shared" si="34"/>
        <v>21</v>
      </c>
      <c r="T70" s="10"/>
      <c r="U70" s="10"/>
      <c r="V70" s="10"/>
      <c r="W70" s="10"/>
      <c r="X70" s="5"/>
      <c r="Y70" s="10"/>
      <c r="Z70" s="8"/>
      <c r="AA70" s="10"/>
      <c r="AB70" s="10"/>
      <c r="AC70" s="8"/>
      <c r="AD70" s="10"/>
      <c r="AE70" s="35"/>
      <c r="AF70" s="10"/>
      <c r="AG70" s="8">
        <v>102</v>
      </c>
      <c r="AH70" s="59">
        <v>7</v>
      </c>
      <c r="AI70" s="10">
        <v>138</v>
      </c>
      <c r="AJ70" s="5">
        <v>20</v>
      </c>
      <c r="AK70" s="10"/>
      <c r="AL70" s="8"/>
      <c r="AM70" s="10"/>
      <c r="AN70" s="35"/>
      <c r="AO70" s="10"/>
      <c r="AP70" s="10"/>
      <c r="AQ70" s="35"/>
      <c r="AR70" s="59"/>
      <c r="AS70" s="59"/>
      <c r="AT70" s="59"/>
      <c r="AU70" s="59"/>
      <c r="AV70" s="62"/>
      <c r="AW70" s="10"/>
      <c r="AX70" s="326"/>
      <c r="AY70" s="5"/>
      <c r="AZ70" s="10"/>
      <c r="BA70" s="8"/>
      <c r="BB70" s="10"/>
      <c r="BC70" s="10"/>
      <c r="BD70" s="10"/>
      <c r="BE70" s="10"/>
      <c r="BF70" s="10"/>
      <c r="BG70" s="10"/>
      <c r="BH70" s="30"/>
      <c r="BI70" s="10"/>
      <c r="BJ70" s="338"/>
      <c r="BK70" s="338"/>
      <c r="BL70" s="303"/>
      <c r="BM70" s="5"/>
      <c r="BN70" s="10"/>
      <c r="BO70" s="8"/>
      <c r="BP70" s="5"/>
      <c r="BQ70" s="10"/>
      <c r="BR70" s="29">
        <v>1990</v>
      </c>
      <c r="BS70" s="64">
        <v>1989</v>
      </c>
      <c r="BT70" s="14">
        <v>21</v>
      </c>
      <c r="BU70" s="10"/>
      <c r="BV70" s="8"/>
      <c r="BW70" s="10"/>
      <c r="BX70" s="10"/>
      <c r="BY70" s="10"/>
      <c r="BZ70" s="10"/>
      <c r="CA70" s="10"/>
      <c r="CB70" s="10"/>
      <c r="CC70" s="221"/>
      <c r="CD70" s="10"/>
      <c r="CE70" s="317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317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38">
        <f t="shared" si="35"/>
        <v>0</v>
      </c>
      <c r="DW70" s="14" t="str">
        <f t="shared" si="36"/>
        <v>PROB</v>
      </c>
    </row>
    <row r="71" spans="1:127" customFormat="1">
      <c r="A71" s="210">
        <v>32827</v>
      </c>
      <c r="B71" s="211"/>
      <c r="C71" s="8">
        <v>6</v>
      </c>
      <c r="D71" s="10">
        <v>16</v>
      </c>
      <c r="E71" s="10">
        <v>1</v>
      </c>
      <c r="F71" s="10">
        <v>0</v>
      </c>
      <c r="G71" s="10">
        <v>4</v>
      </c>
      <c r="H71" s="10">
        <v>0</v>
      </c>
      <c r="I71" s="10">
        <v>0</v>
      </c>
      <c r="J71" s="10">
        <v>0</v>
      </c>
      <c r="K71" s="59">
        <v>0</v>
      </c>
      <c r="L71" s="59">
        <v>0</v>
      </c>
      <c r="M71" s="59"/>
      <c r="N71" s="59"/>
      <c r="O71" s="10">
        <v>3</v>
      </c>
      <c r="P71" s="59">
        <v>0</v>
      </c>
      <c r="Q71" s="10">
        <v>0</v>
      </c>
      <c r="R71" s="10">
        <v>0</v>
      </c>
      <c r="S71" s="35">
        <f t="shared" si="34"/>
        <v>30</v>
      </c>
      <c r="T71" s="10"/>
      <c r="U71" s="10"/>
      <c r="V71" s="10"/>
      <c r="W71" s="10"/>
      <c r="X71" s="5"/>
      <c r="Y71" s="10"/>
      <c r="Z71" s="8"/>
      <c r="AA71" s="10"/>
      <c r="AB71" s="10"/>
      <c r="AC71" s="8"/>
      <c r="AD71" s="10"/>
      <c r="AE71" s="35"/>
      <c r="AF71" s="10"/>
      <c r="AG71" s="8">
        <v>73</v>
      </c>
      <c r="AH71" s="59">
        <v>13</v>
      </c>
      <c r="AI71" s="10">
        <v>132</v>
      </c>
      <c r="AJ71" s="5">
        <v>16</v>
      </c>
      <c r="AK71" s="10"/>
      <c r="AL71" s="8"/>
      <c r="AM71" s="10"/>
      <c r="AN71" s="35"/>
      <c r="AO71" s="10"/>
      <c r="AP71" s="10"/>
      <c r="AQ71" s="35"/>
      <c r="AR71" s="59"/>
      <c r="AS71" s="59"/>
      <c r="AT71" s="59"/>
      <c r="AU71" s="59"/>
      <c r="AV71" s="62"/>
      <c r="AW71" s="10"/>
      <c r="AX71" s="326"/>
      <c r="AY71" s="5"/>
      <c r="AZ71" s="10"/>
      <c r="BA71" s="8"/>
      <c r="BB71" s="10"/>
      <c r="BC71" s="10"/>
      <c r="BD71" s="10"/>
      <c r="BE71" s="10"/>
      <c r="BF71" s="10"/>
      <c r="BG71" s="10"/>
      <c r="BH71" s="30"/>
      <c r="BI71" s="10"/>
      <c r="BJ71" s="338"/>
      <c r="BK71" s="338"/>
      <c r="BL71" s="303"/>
      <c r="BM71" s="5"/>
      <c r="BN71" s="10"/>
      <c r="BO71" s="8"/>
      <c r="BP71" s="5"/>
      <c r="BQ71" s="10"/>
      <c r="BR71" s="29">
        <v>1990</v>
      </c>
      <c r="BS71" s="64">
        <v>1989</v>
      </c>
      <c r="BT71" s="14">
        <v>22</v>
      </c>
      <c r="BU71" s="10"/>
      <c r="BV71" s="8"/>
      <c r="BW71" s="10"/>
      <c r="BX71" s="10"/>
      <c r="BY71" s="10"/>
      <c r="BZ71" s="10"/>
      <c r="CA71" s="10"/>
      <c r="CB71" s="10"/>
      <c r="CC71" s="221"/>
      <c r="CD71" s="10"/>
      <c r="CE71" s="317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317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38">
        <f t="shared" si="35"/>
        <v>0</v>
      </c>
      <c r="DW71" s="14" t="str">
        <f t="shared" si="36"/>
        <v>PROB</v>
      </c>
    </row>
    <row r="72" spans="1:127" customFormat="1">
      <c r="A72" s="210">
        <v>32843</v>
      </c>
      <c r="B72" s="211"/>
      <c r="C72" s="8">
        <v>30</v>
      </c>
      <c r="D72" s="10">
        <v>32</v>
      </c>
      <c r="E72" s="10">
        <v>4</v>
      </c>
      <c r="F72" s="10">
        <v>0</v>
      </c>
      <c r="G72" s="10">
        <v>2</v>
      </c>
      <c r="H72" s="10">
        <v>1</v>
      </c>
      <c r="I72" s="10">
        <v>0</v>
      </c>
      <c r="J72" s="10">
        <v>0</v>
      </c>
      <c r="K72" s="59">
        <v>0</v>
      </c>
      <c r="L72" s="59">
        <v>0</v>
      </c>
      <c r="M72" s="59"/>
      <c r="N72" s="59"/>
      <c r="O72" s="10">
        <v>21</v>
      </c>
      <c r="P72" s="59">
        <v>0</v>
      </c>
      <c r="Q72" s="10">
        <v>0</v>
      </c>
      <c r="R72" s="10">
        <v>0</v>
      </c>
      <c r="S72" s="35">
        <f t="shared" si="34"/>
        <v>90</v>
      </c>
      <c r="T72" s="10"/>
      <c r="U72" s="10"/>
      <c r="V72" s="10"/>
      <c r="W72" s="10"/>
      <c r="X72" s="5"/>
      <c r="Y72" s="10"/>
      <c r="Z72" s="8"/>
      <c r="AA72" s="10"/>
      <c r="AB72" s="10"/>
      <c r="AC72" s="8"/>
      <c r="AD72" s="10"/>
      <c r="AE72" s="35"/>
      <c r="AF72" s="10"/>
      <c r="AG72" s="8">
        <v>114</v>
      </c>
      <c r="AH72" s="59">
        <v>4</v>
      </c>
      <c r="AI72" s="10">
        <v>138</v>
      </c>
      <c r="AJ72" s="5">
        <v>24</v>
      </c>
      <c r="AK72" s="10"/>
      <c r="AL72" s="8"/>
      <c r="AM72" s="10"/>
      <c r="AN72" s="35"/>
      <c r="AO72" s="10"/>
      <c r="AP72" s="10"/>
      <c r="AQ72" s="35"/>
      <c r="AR72" s="59"/>
      <c r="AS72" s="59"/>
      <c r="AT72" s="59"/>
      <c r="AU72" s="59"/>
      <c r="AV72" s="62"/>
      <c r="AW72" s="10"/>
      <c r="AX72" s="326"/>
      <c r="AY72" s="5"/>
      <c r="AZ72" s="10"/>
      <c r="BA72" s="8"/>
      <c r="BB72" s="10"/>
      <c r="BC72" s="10"/>
      <c r="BD72" s="10"/>
      <c r="BE72" s="10"/>
      <c r="BF72" s="10"/>
      <c r="BG72" s="10"/>
      <c r="BH72" s="30"/>
      <c r="BI72" s="10"/>
      <c r="BJ72" s="338"/>
      <c r="BK72" s="338"/>
      <c r="BL72" s="303"/>
      <c r="BM72" s="5"/>
      <c r="BN72" s="10"/>
      <c r="BO72" s="8"/>
      <c r="BP72" s="5"/>
      <c r="BQ72" s="10"/>
      <c r="BR72" s="29">
        <v>1990</v>
      </c>
      <c r="BS72" s="64">
        <v>1989</v>
      </c>
      <c r="BT72" s="14">
        <v>23</v>
      </c>
      <c r="BU72" s="10"/>
      <c r="BV72" s="8"/>
      <c r="BW72" s="10"/>
      <c r="BX72" s="10"/>
      <c r="BY72" s="10"/>
      <c r="BZ72" s="10"/>
      <c r="CA72" s="10"/>
      <c r="CB72" s="10"/>
      <c r="CC72" s="221"/>
      <c r="CD72" s="10"/>
      <c r="CE72" s="317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317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38">
        <f t="shared" si="35"/>
        <v>0</v>
      </c>
      <c r="DW72" s="14" t="str">
        <f t="shared" si="36"/>
        <v>PROB</v>
      </c>
    </row>
    <row r="73" spans="1:127" customFormat="1">
      <c r="A73" s="210">
        <v>32857</v>
      </c>
      <c r="B73" s="211"/>
      <c r="C73" s="8">
        <v>1</v>
      </c>
      <c r="D73" s="10">
        <v>12</v>
      </c>
      <c r="E73" s="10">
        <v>1</v>
      </c>
      <c r="F73" s="10">
        <v>0</v>
      </c>
      <c r="G73" s="10">
        <v>2</v>
      </c>
      <c r="H73" s="10">
        <v>0</v>
      </c>
      <c r="I73" s="10">
        <v>0</v>
      </c>
      <c r="J73" s="10">
        <v>0</v>
      </c>
      <c r="K73" s="59">
        <v>0</v>
      </c>
      <c r="L73" s="59">
        <v>0</v>
      </c>
      <c r="M73" s="59"/>
      <c r="N73" s="59"/>
      <c r="O73" s="10">
        <v>19</v>
      </c>
      <c r="P73" s="59">
        <v>0</v>
      </c>
      <c r="Q73" s="10">
        <v>0</v>
      </c>
      <c r="R73" s="10">
        <v>0</v>
      </c>
      <c r="S73" s="35">
        <f t="shared" si="34"/>
        <v>35</v>
      </c>
      <c r="T73" s="10"/>
      <c r="U73" s="10"/>
      <c r="V73" s="10"/>
      <c r="W73" s="10"/>
      <c r="X73" s="5"/>
      <c r="Y73" s="10"/>
      <c r="Z73" s="8"/>
      <c r="AA73" s="10"/>
      <c r="AB73" s="10"/>
      <c r="AC73" s="8"/>
      <c r="AD73" s="10"/>
      <c r="AE73" s="35"/>
      <c r="AF73" s="10"/>
      <c r="AG73" s="8">
        <v>90</v>
      </c>
      <c r="AH73" s="59">
        <v>15</v>
      </c>
      <c r="AI73" s="10">
        <v>138</v>
      </c>
      <c r="AJ73" s="5">
        <v>16</v>
      </c>
      <c r="AK73" s="10"/>
      <c r="AL73" s="8"/>
      <c r="AM73" s="10"/>
      <c r="AN73" s="35"/>
      <c r="AO73" s="10"/>
      <c r="AP73" s="10"/>
      <c r="AQ73" s="35"/>
      <c r="AR73" s="59"/>
      <c r="AS73" s="59"/>
      <c r="AT73" s="59"/>
      <c r="AU73" s="59"/>
      <c r="AV73" s="62"/>
      <c r="AW73" s="10"/>
      <c r="AX73" s="326"/>
      <c r="AY73" s="5"/>
      <c r="AZ73" s="10"/>
      <c r="BA73" s="8"/>
      <c r="BB73" s="10"/>
      <c r="BC73" s="10"/>
      <c r="BD73" s="10"/>
      <c r="BE73" s="10"/>
      <c r="BF73" s="10"/>
      <c r="BG73" s="10"/>
      <c r="BH73" s="30"/>
      <c r="BI73" s="10"/>
      <c r="BJ73" s="338"/>
      <c r="BK73" s="338"/>
      <c r="BL73" s="303"/>
      <c r="BM73" s="5"/>
      <c r="BN73" s="10"/>
      <c r="BO73" s="8"/>
      <c r="BP73" s="5"/>
      <c r="BQ73" s="10"/>
      <c r="BR73" s="29">
        <v>1990</v>
      </c>
      <c r="BS73" s="64">
        <v>1989</v>
      </c>
      <c r="BT73" s="14">
        <v>24</v>
      </c>
      <c r="BU73" s="10"/>
      <c r="BV73" s="8"/>
      <c r="BW73" s="10"/>
      <c r="BX73" s="10"/>
      <c r="BY73" s="10"/>
      <c r="BZ73" s="10"/>
      <c r="CA73" s="10"/>
      <c r="CB73" s="10"/>
      <c r="CC73" s="221"/>
      <c r="CD73" s="10"/>
      <c r="CE73" s="317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317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38">
        <f t="shared" si="35"/>
        <v>0</v>
      </c>
      <c r="DW73" s="14" t="str">
        <f t="shared" si="36"/>
        <v>PROB</v>
      </c>
    </row>
    <row r="74" spans="1:127" customFormat="1">
      <c r="A74" s="210">
        <v>32874</v>
      </c>
      <c r="B74" s="211"/>
      <c r="C74" s="8">
        <v>6</v>
      </c>
      <c r="D74" s="10">
        <v>18</v>
      </c>
      <c r="E74" s="10">
        <v>8</v>
      </c>
      <c r="F74" s="10">
        <v>0</v>
      </c>
      <c r="G74" s="10">
        <v>0</v>
      </c>
      <c r="H74" s="10">
        <v>1</v>
      </c>
      <c r="I74" s="10">
        <v>0</v>
      </c>
      <c r="J74" s="10">
        <v>0</v>
      </c>
      <c r="K74" s="59">
        <v>0</v>
      </c>
      <c r="L74" s="59">
        <v>0</v>
      </c>
      <c r="M74" s="59"/>
      <c r="N74" s="59"/>
      <c r="O74" s="10">
        <v>18</v>
      </c>
      <c r="P74" s="59">
        <v>0</v>
      </c>
      <c r="Q74" s="10">
        <v>0</v>
      </c>
      <c r="R74" s="10">
        <v>0</v>
      </c>
      <c r="S74" s="35">
        <f t="shared" si="34"/>
        <v>51</v>
      </c>
      <c r="T74" s="10"/>
      <c r="U74" s="10"/>
      <c r="V74" s="10"/>
      <c r="W74" s="10"/>
      <c r="X74" s="5"/>
      <c r="Y74" s="10"/>
      <c r="Z74" s="8"/>
      <c r="AA74" s="10"/>
      <c r="AB74" s="10"/>
      <c r="AC74" s="8"/>
      <c r="AD74" s="10"/>
      <c r="AE74" s="35"/>
      <c r="AF74" s="10"/>
      <c r="AG74" s="8">
        <v>80</v>
      </c>
      <c r="AH74" s="59">
        <v>34</v>
      </c>
      <c r="AI74" s="10">
        <v>140</v>
      </c>
      <c r="AJ74" s="5">
        <v>24</v>
      </c>
      <c r="AK74" s="10"/>
      <c r="AL74" s="8"/>
      <c r="AM74" s="10"/>
      <c r="AN74" s="35"/>
      <c r="AO74" s="10"/>
      <c r="AP74" s="10"/>
      <c r="AQ74" s="35"/>
      <c r="AR74" s="59"/>
      <c r="AS74" s="59"/>
      <c r="AT74" s="59"/>
      <c r="AU74" s="59"/>
      <c r="AV74" s="62"/>
      <c r="AW74" s="10"/>
      <c r="AX74" s="326"/>
      <c r="AY74" s="5"/>
      <c r="AZ74" s="10"/>
      <c r="BA74" s="8"/>
      <c r="BB74" s="10"/>
      <c r="BC74" s="10"/>
      <c r="BD74" s="10"/>
      <c r="BE74" s="10"/>
      <c r="BF74" s="10"/>
      <c r="BG74" s="10"/>
      <c r="BH74" s="30"/>
      <c r="BI74" s="10"/>
      <c r="BJ74" s="338"/>
      <c r="BK74" s="338"/>
      <c r="BL74" s="303"/>
      <c r="BM74" s="5">
        <f>935+842+934+853</f>
        <v>3564</v>
      </c>
      <c r="BN74" s="10"/>
      <c r="BO74" s="8"/>
      <c r="BP74" s="5"/>
      <c r="BQ74" s="10"/>
      <c r="BR74" s="29">
        <v>1990</v>
      </c>
      <c r="BS74" s="64">
        <v>1990</v>
      </c>
      <c r="BT74" s="14">
        <v>1</v>
      </c>
      <c r="BU74" s="10"/>
      <c r="BV74" s="8"/>
      <c r="BW74" s="10"/>
      <c r="BX74" s="10"/>
      <c r="BY74" s="10"/>
      <c r="BZ74" s="10"/>
      <c r="CA74" s="10"/>
      <c r="CB74" s="10"/>
      <c r="CC74" s="221"/>
      <c r="CD74" s="10"/>
      <c r="CE74" s="317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317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38">
        <f t="shared" si="35"/>
        <v>0</v>
      </c>
      <c r="DW74" s="14" t="str">
        <f t="shared" si="36"/>
        <v>PROB</v>
      </c>
    </row>
    <row r="75" spans="1:127" customFormat="1">
      <c r="A75" s="210">
        <v>32888</v>
      </c>
      <c r="B75" s="211"/>
      <c r="C75" s="8">
        <v>0</v>
      </c>
      <c r="D75" s="10">
        <v>6</v>
      </c>
      <c r="E75" s="10">
        <v>0</v>
      </c>
      <c r="F75" s="10">
        <v>1</v>
      </c>
      <c r="G75" s="10">
        <v>1</v>
      </c>
      <c r="H75" s="10">
        <v>6</v>
      </c>
      <c r="I75" s="10">
        <v>0</v>
      </c>
      <c r="J75" s="10">
        <v>0</v>
      </c>
      <c r="K75" s="59">
        <v>0</v>
      </c>
      <c r="L75" s="59">
        <v>0</v>
      </c>
      <c r="M75" s="59"/>
      <c r="N75" s="59"/>
      <c r="O75" s="10">
        <v>2</v>
      </c>
      <c r="P75" s="59">
        <v>0</v>
      </c>
      <c r="Q75" s="10">
        <v>0</v>
      </c>
      <c r="R75" s="10">
        <v>0</v>
      </c>
      <c r="S75" s="35">
        <f t="shared" si="34"/>
        <v>16</v>
      </c>
      <c r="T75" s="10"/>
      <c r="U75" s="10"/>
      <c r="V75" s="10"/>
      <c r="W75" s="10"/>
      <c r="X75" s="5"/>
      <c r="Y75" s="10"/>
      <c r="Z75" s="8"/>
      <c r="AA75" s="10"/>
      <c r="AB75" s="10"/>
      <c r="AC75" s="8"/>
      <c r="AD75" s="10"/>
      <c r="AE75" s="35"/>
      <c r="AF75" s="10"/>
      <c r="AG75" s="8">
        <v>41</v>
      </c>
      <c r="AH75" s="59">
        <v>38</v>
      </c>
      <c r="AI75" s="10">
        <v>110</v>
      </c>
      <c r="AJ75" s="5">
        <v>12</v>
      </c>
      <c r="AK75" s="10"/>
      <c r="AL75" s="8"/>
      <c r="AM75" s="10"/>
      <c r="AN75" s="35"/>
      <c r="AO75" s="10"/>
      <c r="AP75" s="10"/>
      <c r="AQ75" s="35"/>
      <c r="AR75" s="59"/>
      <c r="AS75" s="59"/>
      <c r="AT75" s="59"/>
      <c r="AU75" s="59"/>
      <c r="AV75" s="62"/>
      <c r="AW75" s="10"/>
      <c r="AX75" s="326"/>
      <c r="AY75" s="5"/>
      <c r="AZ75" s="10"/>
      <c r="BA75" s="8"/>
      <c r="BB75" s="10"/>
      <c r="BC75" s="10"/>
      <c r="BD75" s="10"/>
      <c r="BE75" s="10"/>
      <c r="BF75" s="10"/>
      <c r="BG75" s="10"/>
      <c r="BH75" s="30"/>
      <c r="BI75" s="10"/>
      <c r="BJ75" s="338"/>
      <c r="BK75" s="338"/>
      <c r="BL75" s="303"/>
      <c r="BM75" s="5"/>
      <c r="BN75" s="10"/>
      <c r="BO75" s="8"/>
      <c r="BP75" s="5"/>
      <c r="BQ75" s="10"/>
      <c r="BR75" s="29">
        <v>1990</v>
      </c>
      <c r="BS75" s="64">
        <v>1990</v>
      </c>
      <c r="BT75" s="14">
        <v>2</v>
      </c>
      <c r="BU75" s="10"/>
      <c r="BV75" s="8"/>
      <c r="BW75" s="10"/>
      <c r="BX75" s="10"/>
      <c r="BY75" s="10"/>
      <c r="BZ75" s="10"/>
      <c r="CA75" s="10"/>
      <c r="CB75" s="10"/>
      <c r="CC75" s="221"/>
      <c r="CD75" s="10"/>
      <c r="CE75" s="317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317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38">
        <f t="shared" si="35"/>
        <v>0</v>
      </c>
      <c r="DW75" s="14" t="str">
        <f t="shared" si="36"/>
        <v>PROB</v>
      </c>
    </row>
    <row r="76" spans="1:127" customFormat="1">
      <c r="A76" s="210">
        <v>32905</v>
      </c>
      <c r="B76" s="211"/>
      <c r="C76" s="8">
        <v>1</v>
      </c>
      <c r="D76" s="10">
        <v>9</v>
      </c>
      <c r="E76" s="10">
        <v>6</v>
      </c>
      <c r="F76" s="10">
        <v>0</v>
      </c>
      <c r="G76" s="10">
        <v>2</v>
      </c>
      <c r="H76" s="10">
        <v>1</v>
      </c>
      <c r="I76" s="10">
        <v>0</v>
      </c>
      <c r="J76" s="10">
        <v>0</v>
      </c>
      <c r="K76" s="59">
        <v>0</v>
      </c>
      <c r="L76" s="59">
        <v>0</v>
      </c>
      <c r="M76" s="59"/>
      <c r="N76" s="59"/>
      <c r="O76" s="10">
        <v>4</v>
      </c>
      <c r="P76" s="59">
        <v>0</v>
      </c>
      <c r="Q76" s="10">
        <v>0</v>
      </c>
      <c r="R76" s="10">
        <v>1</v>
      </c>
      <c r="S76" s="35">
        <f t="shared" si="34"/>
        <v>24</v>
      </c>
      <c r="T76" s="10"/>
      <c r="U76" s="10"/>
      <c r="V76" s="10"/>
      <c r="W76" s="10"/>
      <c r="X76" s="5"/>
      <c r="Y76" s="10"/>
      <c r="Z76" s="8"/>
      <c r="AA76" s="10"/>
      <c r="AB76" s="10"/>
      <c r="AC76" s="8"/>
      <c r="AD76" s="10"/>
      <c r="AE76" s="35"/>
      <c r="AF76" s="10"/>
      <c r="AG76" s="8">
        <v>57</v>
      </c>
      <c r="AH76" s="59">
        <v>36</v>
      </c>
      <c r="AI76" s="10">
        <v>128</v>
      </c>
      <c r="AJ76" s="5">
        <v>16</v>
      </c>
      <c r="AK76" s="10"/>
      <c r="AL76" s="8"/>
      <c r="AM76" s="10"/>
      <c r="AN76" s="35"/>
      <c r="AO76" s="10"/>
      <c r="AP76" s="10"/>
      <c r="AQ76" s="35"/>
      <c r="AR76" s="59"/>
      <c r="AS76" s="59"/>
      <c r="AT76" s="59"/>
      <c r="AU76" s="59"/>
      <c r="AV76" s="62"/>
      <c r="AW76" s="10"/>
      <c r="AX76" s="326"/>
      <c r="AY76" s="5"/>
      <c r="AZ76" s="10"/>
      <c r="BA76" s="8"/>
      <c r="BB76" s="10"/>
      <c r="BC76" s="10"/>
      <c r="BD76" s="10"/>
      <c r="BE76" s="10"/>
      <c r="BF76" s="10"/>
      <c r="BG76" s="10"/>
      <c r="BH76" s="30"/>
      <c r="BI76" s="10"/>
      <c r="BJ76" s="338"/>
      <c r="BK76" s="338"/>
      <c r="BL76" s="303"/>
      <c r="BM76" s="5"/>
      <c r="BN76" s="10"/>
      <c r="BO76" s="8"/>
      <c r="BP76" s="5"/>
      <c r="BQ76" s="10"/>
      <c r="BR76" s="29">
        <v>1990</v>
      </c>
      <c r="BS76" s="64">
        <v>1990</v>
      </c>
      <c r="BT76" s="14">
        <v>3</v>
      </c>
      <c r="BU76" s="10"/>
      <c r="BV76" s="8"/>
      <c r="BW76" s="10"/>
      <c r="BX76" s="10"/>
      <c r="BY76" s="10"/>
      <c r="BZ76" s="10"/>
      <c r="CA76" s="10"/>
      <c r="CB76" s="10"/>
      <c r="CC76" s="221"/>
      <c r="CD76" s="10"/>
      <c r="CE76" s="317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317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38">
        <f t="shared" si="35"/>
        <v>0</v>
      </c>
      <c r="DW76" s="14" t="str">
        <f t="shared" si="36"/>
        <v>PROB</v>
      </c>
    </row>
    <row r="77" spans="1:127" customFormat="1">
      <c r="A77" s="210">
        <v>32919</v>
      </c>
      <c r="B77" s="211"/>
      <c r="C77" s="8">
        <v>5</v>
      </c>
      <c r="D77" s="10">
        <v>21</v>
      </c>
      <c r="E77" s="10">
        <v>6</v>
      </c>
      <c r="F77" s="10">
        <v>0</v>
      </c>
      <c r="G77" s="10">
        <v>0</v>
      </c>
      <c r="H77" s="10">
        <v>1</v>
      </c>
      <c r="I77" s="10">
        <v>0</v>
      </c>
      <c r="J77" s="10">
        <v>0</v>
      </c>
      <c r="K77" s="59">
        <v>0</v>
      </c>
      <c r="L77" s="59">
        <v>0</v>
      </c>
      <c r="M77" s="59"/>
      <c r="N77" s="59"/>
      <c r="O77" s="10">
        <v>15</v>
      </c>
      <c r="P77" s="59">
        <v>0</v>
      </c>
      <c r="Q77" s="10">
        <v>0</v>
      </c>
      <c r="R77" s="10">
        <v>0</v>
      </c>
      <c r="S77" s="35">
        <f t="shared" si="34"/>
        <v>48</v>
      </c>
      <c r="T77" s="10"/>
      <c r="U77" s="10"/>
      <c r="V77" s="10"/>
      <c r="W77" s="10"/>
      <c r="X77" s="5"/>
      <c r="Y77" s="10"/>
      <c r="Z77" s="8"/>
      <c r="AA77" s="10"/>
      <c r="AB77" s="10"/>
      <c r="AC77" s="8"/>
      <c r="AD77" s="10"/>
      <c r="AE77" s="35"/>
      <c r="AF77" s="10"/>
      <c r="AG77" s="8">
        <v>109</v>
      </c>
      <c r="AH77" s="59">
        <v>4</v>
      </c>
      <c r="AI77" s="10">
        <v>134</v>
      </c>
      <c r="AJ77" s="5">
        <v>16</v>
      </c>
      <c r="AK77" s="10"/>
      <c r="AL77" s="8"/>
      <c r="AM77" s="10"/>
      <c r="AN77" s="35"/>
      <c r="AO77" s="10"/>
      <c r="AP77" s="10"/>
      <c r="AQ77" s="35"/>
      <c r="AR77" s="59"/>
      <c r="AS77" s="59"/>
      <c r="AT77" s="59"/>
      <c r="AU77" s="59"/>
      <c r="AV77" s="62"/>
      <c r="AW77" s="10"/>
      <c r="AX77" s="326"/>
      <c r="AY77" s="5"/>
      <c r="AZ77" s="10"/>
      <c r="BA77" s="8"/>
      <c r="BB77" s="10"/>
      <c r="BC77" s="10"/>
      <c r="BD77" s="10"/>
      <c r="BE77" s="10"/>
      <c r="BF77" s="10"/>
      <c r="BG77" s="10"/>
      <c r="BH77" s="30"/>
      <c r="BI77" s="10"/>
      <c r="BJ77" s="338"/>
      <c r="BK77" s="338"/>
      <c r="BL77" s="303"/>
      <c r="BM77" s="5"/>
      <c r="BN77" s="10"/>
      <c r="BO77" s="8"/>
      <c r="BP77" s="5"/>
      <c r="BQ77" s="10"/>
      <c r="BR77" s="29">
        <v>1990</v>
      </c>
      <c r="BS77" s="64">
        <v>1990</v>
      </c>
      <c r="BT77" s="14">
        <v>4</v>
      </c>
      <c r="BU77" s="10"/>
      <c r="BV77" s="8"/>
      <c r="BW77" s="10"/>
      <c r="BX77" s="10"/>
      <c r="BY77" s="10"/>
      <c r="BZ77" s="10"/>
      <c r="CA77" s="10"/>
      <c r="CB77" s="10"/>
      <c r="CC77" s="221"/>
      <c r="CD77" s="10"/>
      <c r="CE77" s="317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317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38">
        <f t="shared" si="35"/>
        <v>0</v>
      </c>
      <c r="DW77" s="14" t="str">
        <f t="shared" si="36"/>
        <v>PROB</v>
      </c>
    </row>
    <row r="78" spans="1:127" customFormat="1">
      <c r="A78" s="210">
        <v>32933</v>
      </c>
      <c r="B78" s="211"/>
      <c r="C78" s="8">
        <v>6</v>
      </c>
      <c r="D78" s="10">
        <v>5</v>
      </c>
      <c r="E78" s="10">
        <v>1</v>
      </c>
      <c r="F78" s="10">
        <v>2</v>
      </c>
      <c r="G78" s="10">
        <v>2</v>
      </c>
      <c r="H78" s="10">
        <v>1</v>
      </c>
      <c r="I78" s="10">
        <v>0</v>
      </c>
      <c r="J78" s="10">
        <v>0</v>
      </c>
      <c r="K78" s="59">
        <v>0</v>
      </c>
      <c r="L78" s="59">
        <v>0</v>
      </c>
      <c r="M78" s="59"/>
      <c r="N78" s="59"/>
      <c r="O78" s="10">
        <v>8</v>
      </c>
      <c r="P78" s="59">
        <v>0</v>
      </c>
      <c r="Q78" s="10">
        <v>0</v>
      </c>
      <c r="R78" s="10">
        <v>0</v>
      </c>
      <c r="S78" s="35">
        <f t="shared" si="34"/>
        <v>25</v>
      </c>
      <c r="T78" s="10"/>
      <c r="U78" s="10"/>
      <c r="V78" s="10"/>
      <c r="W78" s="10"/>
      <c r="X78" s="5"/>
      <c r="Y78" s="10"/>
      <c r="Z78" s="8"/>
      <c r="AA78" s="10"/>
      <c r="AB78" s="10"/>
      <c r="AC78" s="8"/>
      <c r="AD78" s="10"/>
      <c r="AE78" s="35"/>
      <c r="AF78" s="10"/>
      <c r="AG78" s="8">
        <v>75</v>
      </c>
      <c r="AH78" s="59">
        <v>4</v>
      </c>
      <c r="AI78" s="10">
        <v>138</v>
      </c>
      <c r="AJ78" s="5">
        <v>12</v>
      </c>
      <c r="AK78" s="10"/>
      <c r="AL78" s="8"/>
      <c r="AM78" s="10"/>
      <c r="AN78" s="35"/>
      <c r="AO78" s="10"/>
      <c r="AP78" s="10"/>
      <c r="AQ78" s="35"/>
      <c r="AR78" s="59"/>
      <c r="AS78" s="59"/>
      <c r="AT78" s="59"/>
      <c r="AU78" s="59"/>
      <c r="AV78" s="62"/>
      <c r="AW78" s="10"/>
      <c r="AX78" s="326"/>
      <c r="AY78" s="5"/>
      <c r="AZ78" s="10"/>
      <c r="BA78" s="8"/>
      <c r="BB78" s="10"/>
      <c r="BC78" s="10"/>
      <c r="BD78" s="10"/>
      <c r="BE78" s="10"/>
      <c r="BF78" s="10"/>
      <c r="BG78" s="10"/>
      <c r="BH78" s="30"/>
      <c r="BI78" s="10"/>
      <c r="BJ78" s="338"/>
      <c r="BK78" s="338"/>
      <c r="BL78" s="303"/>
      <c r="BM78" s="5"/>
      <c r="BN78" s="10"/>
      <c r="BO78" s="8"/>
      <c r="BP78" s="5"/>
      <c r="BQ78" s="10"/>
      <c r="BR78" s="29">
        <v>1990</v>
      </c>
      <c r="BS78" s="64">
        <v>1990</v>
      </c>
      <c r="BT78" s="14">
        <v>5</v>
      </c>
      <c r="BU78" s="10"/>
      <c r="BV78" s="8"/>
      <c r="BW78" s="10"/>
      <c r="BX78" s="10"/>
      <c r="BY78" s="10"/>
      <c r="BZ78" s="10"/>
      <c r="CA78" s="10"/>
      <c r="CB78" s="10"/>
      <c r="CC78" s="221"/>
      <c r="CD78" s="10"/>
      <c r="CE78" s="317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317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38">
        <f t="shared" si="35"/>
        <v>0</v>
      </c>
      <c r="DW78" s="14" t="str">
        <f t="shared" si="36"/>
        <v>PROB</v>
      </c>
    </row>
    <row r="79" spans="1:127" customFormat="1">
      <c r="A79" s="210">
        <v>32947</v>
      </c>
      <c r="B79" s="211"/>
      <c r="C79" s="8">
        <v>1</v>
      </c>
      <c r="D79" s="10">
        <v>17</v>
      </c>
      <c r="E79" s="10">
        <v>0</v>
      </c>
      <c r="F79" s="10">
        <v>0</v>
      </c>
      <c r="G79" s="10">
        <v>1</v>
      </c>
      <c r="H79" s="10">
        <v>2</v>
      </c>
      <c r="I79" s="10">
        <v>0</v>
      </c>
      <c r="J79" s="10">
        <v>0</v>
      </c>
      <c r="K79" s="59">
        <v>0</v>
      </c>
      <c r="L79" s="59">
        <v>0</v>
      </c>
      <c r="M79" s="59"/>
      <c r="N79" s="59"/>
      <c r="O79" s="10">
        <v>3</v>
      </c>
      <c r="P79" s="59">
        <v>0</v>
      </c>
      <c r="Q79" s="10">
        <v>0</v>
      </c>
      <c r="R79" s="10">
        <v>1</v>
      </c>
      <c r="S79" s="35">
        <f t="shared" si="34"/>
        <v>25</v>
      </c>
      <c r="T79" s="10"/>
      <c r="U79" s="10"/>
      <c r="V79" s="10"/>
      <c r="W79" s="10"/>
      <c r="X79" s="5"/>
      <c r="Y79" s="10"/>
      <c r="Z79" s="8"/>
      <c r="AA79" s="10"/>
      <c r="AB79" s="10"/>
      <c r="AC79" s="8"/>
      <c r="AD79" s="10"/>
      <c r="AE79" s="35"/>
      <c r="AF79" s="10"/>
      <c r="AG79" s="8">
        <v>93</v>
      </c>
      <c r="AH79" s="59">
        <v>4</v>
      </c>
      <c r="AI79" s="10">
        <v>136</v>
      </c>
      <c r="AJ79" s="5">
        <v>20</v>
      </c>
      <c r="AK79" s="10"/>
      <c r="AL79" s="8"/>
      <c r="AM79" s="10"/>
      <c r="AN79" s="35"/>
      <c r="AO79" s="10"/>
      <c r="AP79" s="10"/>
      <c r="AQ79" s="35"/>
      <c r="AR79" s="59"/>
      <c r="AS79" s="59"/>
      <c r="AT79" s="59"/>
      <c r="AU79" s="59"/>
      <c r="AV79" s="62"/>
      <c r="AW79" s="10"/>
      <c r="AX79" s="326"/>
      <c r="AY79" s="5"/>
      <c r="AZ79" s="10"/>
      <c r="BA79" s="8"/>
      <c r="BB79" s="10"/>
      <c r="BC79" s="10"/>
      <c r="BD79" s="10"/>
      <c r="BE79" s="10"/>
      <c r="BF79" s="10"/>
      <c r="BG79" s="10"/>
      <c r="BH79" s="30"/>
      <c r="BI79" s="10"/>
      <c r="BJ79" s="338"/>
      <c r="BK79" s="338"/>
      <c r="BL79" s="303"/>
      <c r="BM79" s="5"/>
      <c r="BN79" s="10"/>
      <c r="BO79" s="8"/>
      <c r="BP79" s="5"/>
      <c r="BQ79" s="10"/>
      <c r="BR79" s="29">
        <v>1990</v>
      </c>
      <c r="BS79" s="64">
        <v>1990</v>
      </c>
      <c r="BT79" s="14">
        <v>6</v>
      </c>
      <c r="BU79" s="10"/>
      <c r="BV79" s="8"/>
      <c r="BW79" s="10"/>
      <c r="BX79" s="10"/>
      <c r="BY79" s="10"/>
      <c r="BZ79" s="10"/>
      <c r="CA79" s="10"/>
      <c r="CB79" s="10"/>
      <c r="CC79" s="221"/>
      <c r="CD79" s="10"/>
      <c r="CE79" s="317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317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38">
        <f t="shared" si="35"/>
        <v>0</v>
      </c>
      <c r="DW79" s="14" t="str">
        <f t="shared" si="36"/>
        <v>PROB</v>
      </c>
    </row>
    <row r="80" spans="1:127" customFormat="1">
      <c r="A80" s="210">
        <v>32964</v>
      </c>
      <c r="B80" s="211"/>
      <c r="C80" s="8">
        <v>2</v>
      </c>
      <c r="D80" s="10">
        <v>15</v>
      </c>
      <c r="E80" s="10">
        <v>1</v>
      </c>
      <c r="F80" s="10">
        <v>0</v>
      </c>
      <c r="G80" s="10">
        <v>2</v>
      </c>
      <c r="H80" s="10">
        <v>1</v>
      </c>
      <c r="I80" s="10">
        <v>0</v>
      </c>
      <c r="J80" s="10">
        <v>0</v>
      </c>
      <c r="K80" s="59">
        <v>0</v>
      </c>
      <c r="L80" s="59">
        <v>0</v>
      </c>
      <c r="M80" s="59"/>
      <c r="N80" s="59"/>
      <c r="O80" s="10">
        <v>7</v>
      </c>
      <c r="P80" s="59">
        <v>0</v>
      </c>
      <c r="Q80" s="10">
        <v>0</v>
      </c>
      <c r="R80" s="10">
        <v>0</v>
      </c>
      <c r="S80" s="35">
        <f t="shared" si="34"/>
        <v>28</v>
      </c>
      <c r="T80" s="10"/>
      <c r="U80" s="10"/>
      <c r="V80" s="10"/>
      <c r="W80" s="10"/>
      <c r="X80" s="5"/>
      <c r="Y80" s="10"/>
      <c r="Z80" s="8"/>
      <c r="AA80" s="10"/>
      <c r="AB80" s="10"/>
      <c r="AC80" s="8"/>
      <c r="AD80" s="10"/>
      <c r="AE80" s="35"/>
      <c r="AF80" s="10"/>
      <c r="AG80" s="8">
        <v>84</v>
      </c>
      <c r="AH80" s="59">
        <v>6</v>
      </c>
      <c r="AI80" s="10">
        <v>138</v>
      </c>
      <c r="AJ80" s="5">
        <v>16</v>
      </c>
      <c r="AK80" s="10"/>
      <c r="AL80" s="8"/>
      <c r="AM80" s="10"/>
      <c r="AN80" s="35"/>
      <c r="AO80" s="10"/>
      <c r="AP80" s="10"/>
      <c r="AQ80" s="35"/>
      <c r="AR80" s="59"/>
      <c r="AS80" s="59"/>
      <c r="AT80" s="59"/>
      <c r="AU80" s="59"/>
      <c r="AV80" s="62"/>
      <c r="AW80" s="10"/>
      <c r="AX80" s="326"/>
      <c r="AY80" s="5"/>
      <c r="AZ80" s="10"/>
      <c r="BA80" s="8"/>
      <c r="BB80" s="10"/>
      <c r="BC80" s="10"/>
      <c r="BD80" s="10"/>
      <c r="BE80" s="10"/>
      <c r="BF80" s="10"/>
      <c r="BG80" s="10"/>
      <c r="BH80" s="30"/>
      <c r="BI80" s="10"/>
      <c r="BJ80" s="338"/>
      <c r="BK80" s="338"/>
      <c r="BL80" s="303"/>
      <c r="BM80" s="5"/>
      <c r="BN80" s="10"/>
      <c r="BO80" s="8"/>
      <c r="BP80" s="5"/>
      <c r="BQ80" s="10"/>
      <c r="BR80" s="29">
        <v>1990</v>
      </c>
      <c r="BS80" s="64">
        <v>1990</v>
      </c>
      <c r="BT80" s="14">
        <v>7</v>
      </c>
      <c r="BU80" s="10"/>
      <c r="BV80" s="8"/>
      <c r="BW80" s="10"/>
      <c r="BX80" s="10"/>
      <c r="BY80" s="10"/>
      <c r="BZ80" s="10"/>
      <c r="CA80" s="10"/>
      <c r="CB80" s="10"/>
      <c r="CC80" s="221"/>
      <c r="CD80" s="10"/>
      <c r="CE80" s="317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317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38">
        <f t="shared" si="35"/>
        <v>0</v>
      </c>
      <c r="DW80" s="14" t="str">
        <f t="shared" si="36"/>
        <v>PROB</v>
      </c>
    </row>
    <row r="81" spans="1:127" customFormat="1">
      <c r="A81" s="210">
        <v>32978</v>
      </c>
      <c r="B81" s="211"/>
      <c r="C81" s="8">
        <v>1</v>
      </c>
      <c r="D81" s="10">
        <v>18</v>
      </c>
      <c r="E81" s="10">
        <v>1</v>
      </c>
      <c r="F81" s="10">
        <v>2</v>
      </c>
      <c r="G81" s="10">
        <v>1</v>
      </c>
      <c r="H81" s="10">
        <v>1</v>
      </c>
      <c r="I81" s="10">
        <v>0</v>
      </c>
      <c r="J81" s="10">
        <v>0</v>
      </c>
      <c r="K81" s="59">
        <v>0</v>
      </c>
      <c r="L81" s="59">
        <v>0</v>
      </c>
      <c r="M81" s="59"/>
      <c r="N81" s="59"/>
      <c r="O81" s="10">
        <v>21</v>
      </c>
      <c r="P81" s="59">
        <v>0</v>
      </c>
      <c r="Q81" s="10">
        <v>0</v>
      </c>
      <c r="R81" s="10">
        <v>0</v>
      </c>
      <c r="S81" s="35">
        <f t="shared" si="34"/>
        <v>45</v>
      </c>
      <c r="T81" s="10"/>
      <c r="U81" s="10"/>
      <c r="V81" s="10"/>
      <c r="W81" s="10"/>
      <c r="X81" s="5"/>
      <c r="Y81" s="10"/>
      <c r="Z81" s="8"/>
      <c r="AA81" s="10"/>
      <c r="AB81" s="10"/>
      <c r="AC81" s="8"/>
      <c r="AD81" s="10"/>
      <c r="AE81" s="35"/>
      <c r="AF81" s="10"/>
      <c r="AG81" s="8">
        <v>83</v>
      </c>
      <c r="AH81" s="59">
        <v>8</v>
      </c>
      <c r="AI81" s="10">
        <v>138</v>
      </c>
      <c r="AJ81" s="5">
        <v>20</v>
      </c>
      <c r="AK81" s="10"/>
      <c r="AL81" s="8"/>
      <c r="AM81" s="10"/>
      <c r="AN81" s="35"/>
      <c r="AO81" s="10"/>
      <c r="AP81" s="10"/>
      <c r="AQ81" s="35"/>
      <c r="AR81" s="59"/>
      <c r="AS81" s="59"/>
      <c r="AT81" s="59"/>
      <c r="AU81" s="59"/>
      <c r="AV81" s="62"/>
      <c r="AW81" s="10"/>
      <c r="AX81" s="326"/>
      <c r="AY81" s="5"/>
      <c r="AZ81" s="10"/>
      <c r="BA81" s="8"/>
      <c r="BB81" s="10"/>
      <c r="BC81" s="10"/>
      <c r="BD81" s="10"/>
      <c r="BE81" s="10"/>
      <c r="BF81" s="10"/>
      <c r="BG81" s="10"/>
      <c r="BH81" s="30"/>
      <c r="BI81" s="10"/>
      <c r="BJ81" s="338"/>
      <c r="BK81" s="338"/>
      <c r="BL81" s="303"/>
      <c r="BM81" s="5"/>
      <c r="BN81" s="10"/>
      <c r="BO81" s="8"/>
      <c r="BP81" s="5"/>
      <c r="BQ81" s="10"/>
      <c r="BR81" s="29">
        <v>1990</v>
      </c>
      <c r="BS81" s="64">
        <v>1990</v>
      </c>
      <c r="BT81" s="14">
        <v>8</v>
      </c>
      <c r="BU81" s="10"/>
      <c r="BV81" s="8"/>
      <c r="BW81" s="10"/>
      <c r="BX81" s="10"/>
      <c r="BY81" s="10"/>
      <c r="BZ81" s="10"/>
      <c r="CA81" s="10"/>
      <c r="CB81" s="10"/>
      <c r="CC81" s="221"/>
      <c r="CD81" s="10"/>
      <c r="CE81" s="317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317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38">
        <f t="shared" si="35"/>
        <v>0</v>
      </c>
      <c r="DW81" s="14" t="str">
        <f t="shared" si="36"/>
        <v>PROB</v>
      </c>
    </row>
    <row r="82" spans="1:127" customFormat="1">
      <c r="A82" s="210">
        <v>32994</v>
      </c>
      <c r="B82" s="211"/>
      <c r="C82" s="8">
        <v>1</v>
      </c>
      <c r="D82" s="10">
        <v>20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59">
        <v>0</v>
      </c>
      <c r="L82" s="59">
        <v>0</v>
      </c>
      <c r="M82" s="59"/>
      <c r="N82" s="59"/>
      <c r="O82" s="10">
        <v>15</v>
      </c>
      <c r="P82" s="59">
        <v>0</v>
      </c>
      <c r="Q82" s="10">
        <v>0</v>
      </c>
      <c r="R82" s="10">
        <v>0</v>
      </c>
      <c r="S82" s="35">
        <f t="shared" si="34"/>
        <v>36</v>
      </c>
      <c r="T82" s="10"/>
      <c r="U82" s="10"/>
      <c r="V82" s="10"/>
      <c r="W82" s="10"/>
      <c r="X82" s="5"/>
      <c r="Y82" s="10"/>
      <c r="Z82" s="8"/>
      <c r="AA82" s="10"/>
      <c r="AB82" s="10"/>
      <c r="AC82" s="8"/>
      <c r="AD82" s="10"/>
      <c r="AE82" s="35"/>
      <c r="AF82" s="10"/>
      <c r="AG82" s="8">
        <v>105</v>
      </c>
      <c r="AH82" s="59">
        <v>9</v>
      </c>
      <c r="AI82" s="10">
        <v>138</v>
      </c>
      <c r="AJ82" s="5">
        <v>16</v>
      </c>
      <c r="AK82" s="10"/>
      <c r="AL82" s="8"/>
      <c r="AM82" s="10"/>
      <c r="AN82" s="35"/>
      <c r="AO82" s="10"/>
      <c r="AP82" s="10"/>
      <c r="AQ82" s="35"/>
      <c r="AR82" s="59"/>
      <c r="AS82" s="59"/>
      <c r="AT82" s="59"/>
      <c r="AU82" s="59"/>
      <c r="AV82" s="62"/>
      <c r="AW82" s="10"/>
      <c r="AX82" s="326"/>
      <c r="AY82" s="5"/>
      <c r="AZ82" s="10"/>
      <c r="BA82" s="8"/>
      <c r="BB82" s="10"/>
      <c r="BC82" s="10"/>
      <c r="BD82" s="10"/>
      <c r="BE82" s="10"/>
      <c r="BF82" s="10"/>
      <c r="BG82" s="10"/>
      <c r="BH82" s="30"/>
      <c r="BI82" s="10"/>
      <c r="BJ82" s="338"/>
      <c r="BK82" s="338"/>
      <c r="BL82" s="303"/>
      <c r="BM82" s="5"/>
      <c r="BN82" s="10"/>
      <c r="BO82" s="8"/>
      <c r="BP82" s="5"/>
      <c r="BQ82" s="10"/>
      <c r="BR82" s="29">
        <v>1990</v>
      </c>
      <c r="BS82" s="64">
        <v>1990</v>
      </c>
      <c r="BT82" s="14">
        <v>9</v>
      </c>
      <c r="BU82" s="10"/>
      <c r="BV82" s="8"/>
      <c r="BW82" s="10"/>
      <c r="BX82" s="10"/>
      <c r="BY82" s="10"/>
      <c r="BZ82" s="10"/>
      <c r="CA82" s="10"/>
      <c r="CB82" s="10"/>
      <c r="CC82" s="221"/>
      <c r="CD82" s="10"/>
      <c r="CE82" s="317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317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38">
        <f t="shared" si="35"/>
        <v>0</v>
      </c>
      <c r="DW82" s="14" t="str">
        <f t="shared" si="36"/>
        <v>PROB</v>
      </c>
    </row>
    <row r="83" spans="1:127" customFormat="1">
      <c r="A83" s="210">
        <v>33008</v>
      </c>
      <c r="B83" s="211"/>
      <c r="C83" s="8">
        <v>8</v>
      </c>
      <c r="D83" s="10">
        <v>32</v>
      </c>
      <c r="E83" s="10">
        <v>1</v>
      </c>
      <c r="F83" s="10">
        <v>0</v>
      </c>
      <c r="G83" s="10">
        <v>15</v>
      </c>
      <c r="H83" s="10">
        <v>0</v>
      </c>
      <c r="I83" s="10">
        <v>0</v>
      </c>
      <c r="J83" s="10">
        <v>0</v>
      </c>
      <c r="K83" s="59">
        <v>0</v>
      </c>
      <c r="L83" s="59">
        <v>0</v>
      </c>
      <c r="M83" s="59"/>
      <c r="N83" s="59"/>
      <c r="O83" s="10">
        <v>11</v>
      </c>
      <c r="P83" s="59">
        <v>0</v>
      </c>
      <c r="Q83" s="10">
        <v>0</v>
      </c>
      <c r="R83" s="10">
        <v>0</v>
      </c>
      <c r="S83" s="35">
        <f t="shared" si="34"/>
        <v>67</v>
      </c>
      <c r="T83" s="10"/>
      <c r="U83" s="10"/>
      <c r="V83" s="10"/>
      <c r="W83" s="10"/>
      <c r="X83" s="5"/>
      <c r="Y83" s="10"/>
      <c r="Z83" s="8"/>
      <c r="AA83" s="10"/>
      <c r="AB83" s="10"/>
      <c r="AC83" s="8"/>
      <c r="AD83" s="10"/>
      <c r="AE83" s="35"/>
      <c r="AF83" s="10"/>
      <c r="AG83" s="8">
        <v>108</v>
      </c>
      <c r="AH83" s="59">
        <v>5</v>
      </c>
      <c r="AI83" s="10">
        <v>138</v>
      </c>
      <c r="AJ83" s="5">
        <v>20</v>
      </c>
      <c r="AK83" s="10"/>
      <c r="AL83" s="8"/>
      <c r="AM83" s="10"/>
      <c r="AN83" s="35"/>
      <c r="AO83" s="10"/>
      <c r="AP83" s="10"/>
      <c r="AQ83" s="35"/>
      <c r="AR83" s="59"/>
      <c r="AS83" s="59"/>
      <c r="AT83" s="59"/>
      <c r="AU83" s="59"/>
      <c r="AV83" s="62"/>
      <c r="AW83" s="10"/>
      <c r="AX83" s="326"/>
      <c r="AY83" s="5"/>
      <c r="AZ83" s="10"/>
      <c r="BA83" s="8"/>
      <c r="BB83" s="10"/>
      <c r="BC83" s="10"/>
      <c r="BD83" s="10"/>
      <c r="BE83" s="10"/>
      <c r="BF83" s="10"/>
      <c r="BG83" s="10"/>
      <c r="BH83" s="30"/>
      <c r="BI83" s="10"/>
      <c r="BJ83" s="338"/>
      <c r="BK83" s="338"/>
      <c r="BL83" s="303"/>
      <c r="BM83" s="5"/>
      <c r="BN83" s="10"/>
      <c r="BO83" s="8"/>
      <c r="BP83" s="5"/>
      <c r="BQ83" s="10"/>
      <c r="BR83" s="29">
        <v>1990</v>
      </c>
      <c r="BS83" s="64">
        <v>1990</v>
      </c>
      <c r="BT83" s="14">
        <v>10</v>
      </c>
      <c r="BU83" s="10"/>
      <c r="BV83" s="8"/>
      <c r="BW83" s="10"/>
      <c r="BX83" s="10"/>
      <c r="BY83" s="10"/>
      <c r="BZ83" s="10"/>
      <c r="CA83" s="10"/>
      <c r="CB83" s="10"/>
      <c r="CC83" s="221"/>
      <c r="CD83" s="10"/>
      <c r="CE83" s="317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317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38">
        <f t="shared" si="35"/>
        <v>0</v>
      </c>
      <c r="DW83" s="14" t="str">
        <f t="shared" si="36"/>
        <v>PROB</v>
      </c>
    </row>
    <row r="84" spans="1:127" customFormat="1">
      <c r="A84" s="210">
        <v>33025</v>
      </c>
      <c r="B84" s="211"/>
      <c r="C84" s="8">
        <v>10</v>
      </c>
      <c r="D84" s="10">
        <v>42</v>
      </c>
      <c r="E84" s="10">
        <v>0</v>
      </c>
      <c r="F84" s="10">
        <v>0</v>
      </c>
      <c r="G84" s="10">
        <v>5</v>
      </c>
      <c r="H84" s="10">
        <v>4</v>
      </c>
      <c r="I84" s="10">
        <v>0</v>
      </c>
      <c r="J84" s="10">
        <v>0</v>
      </c>
      <c r="K84" s="59">
        <v>0</v>
      </c>
      <c r="L84" s="59">
        <v>0</v>
      </c>
      <c r="M84" s="59"/>
      <c r="N84" s="59"/>
      <c r="O84" s="10">
        <v>9</v>
      </c>
      <c r="P84" s="59">
        <v>0</v>
      </c>
      <c r="Q84" s="10">
        <v>0</v>
      </c>
      <c r="R84" s="10">
        <v>0</v>
      </c>
      <c r="S84" s="35">
        <f t="shared" si="34"/>
        <v>70</v>
      </c>
      <c r="T84" s="10"/>
      <c r="U84" s="10"/>
      <c r="V84" s="10"/>
      <c r="W84" s="10"/>
      <c r="X84" s="5"/>
      <c r="Y84" s="10"/>
      <c r="Z84" s="8"/>
      <c r="AA84" s="10"/>
      <c r="AB84" s="10"/>
      <c r="AC84" s="8"/>
      <c r="AD84" s="10"/>
      <c r="AE84" s="35"/>
      <c r="AF84" s="10"/>
      <c r="AG84" s="8">
        <v>90</v>
      </c>
      <c r="AH84" s="59">
        <v>3</v>
      </c>
      <c r="AI84" s="10">
        <v>134</v>
      </c>
      <c r="AJ84" s="5">
        <v>24</v>
      </c>
      <c r="AK84" s="10"/>
      <c r="AL84" s="8"/>
      <c r="AM84" s="10"/>
      <c r="AN84" s="35"/>
      <c r="AO84" s="10"/>
      <c r="AP84" s="10"/>
      <c r="AQ84" s="35"/>
      <c r="AR84" s="59"/>
      <c r="AS84" s="59"/>
      <c r="AT84" s="59"/>
      <c r="AU84" s="59"/>
      <c r="AV84" s="62"/>
      <c r="AW84" s="10"/>
      <c r="AX84" s="326"/>
      <c r="AY84" s="5"/>
      <c r="AZ84" s="10"/>
      <c r="BA84" s="8"/>
      <c r="BB84" s="10"/>
      <c r="BC84" s="10"/>
      <c r="BD84" s="10"/>
      <c r="BE84" s="10"/>
      <c r="BF84" s="10"/>
      <c r="BG84" s="10"/>
      <c r="BH84" s="30"/>
      <c r="BI84" s="10"/>
      <c r="BJ84" s="338"/>
      <c r="BK84" s="338"/>
      <c r="BL84" s="303"/>
      <c r="BM84" s="5"/>
      <c r="BN84" s="10"/>
      <c r="BO84" s="8"/>
      <c r="BP84" s="5"/>
      <c r="BQ84" s="10"/>
      <c r="BR84" s="29">
        <v>1990</v>
      </c>
      <c r="BS84" s="64">
        <v>1990</v>
      </c>
      <c r="BT84" s="14">
        <v>11</v>
      </c>
      <c r="BU84" s="10"/>
      <c r="BV84" s="8"/>
      <c r="BW84" s="10"/>
      <c r="BX84" s="10"/>
      <c r="BY84" s="10"/>
      <c r="BZ84" s="10"/>
      <c r="CA84" s="10"/>
      <c r="CB84" s="10"/>
      <c r="CC84" s="221"/>
      <c r="CD84" s="10"/>
      <c r="CE84" s="317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317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38">
        <f t="shared" si="35"/>
        <v>0</v>
      </c>
      <c r="DW84" s="14" t="str">
        <f t="shared" si="36"/>
        <v>PROB</v>
      </c>
    </row>
    <row r="85" spans="1:127" customFormat="1">
      <c r="A85" s="210">
        <v>33039</v>
      </c>
      <c r="B85" s="211"/>
      <c r="C85" s="8">
        <v>7</v>
      </c>
      <c r="D85" s="10">
        <v>20</v>
      </c>
      <c r="E85" s="10">
        <v>1</v>
      </c>
      <c r="F85" s="10">
        <v>0</v>
      </c>
      <c r="G85" s="10">
        <v>1</v>
      </c>
      <c r="H85" s="10">
        <v>0</v>
      </c>
      <c r="I85" s="10">
        <v>0</v>
      </c>
      <c r="J85" s="10">
        <v>0</v>
      </c>
      <c r="K85" s="59">
        <v>0</v>
      </c>
      <c r="L85" s="59">
        <v>0</v>
      </c>
      <c r="M85" s="59"/>
      <c r="N85" s="59"/>
      <c r="O85" s="10">
        <v>10</v>
      </c>
      <c r="P85" s="59">
        <v>0</v>
      </c>
      <c r="Q85" s="10">
        <v>0</v>
      </c>
      <c r="R85" s="10">
        <v>0</v>
      </c>
      <c r="S85" s="35">
        <f t="shared" si="34"/>
        <v>39</v>
      </c>
      <c r="T85" s="10"/>
      <c r="U85" s="10"/>
      <c r="V85" s="10"/>
      <c r="W85" s="10"/>
      <c r="X85" s="5"/>
      <c r="Y85" s="10"/>
      <c r="Z85" s="8"/>
      <c r="AA85" s="10"/>
      <c r="AB85" s="10"/>
      <c r="AC85" s="8"/>
      <c r="AD85" s="10"/>
      <c r="AE85" s="35"/>
      <c r="AF85" s="10"/>
      <c r="AG85" s="8">
        <v>103</v>
      </c>
      <c r="AH85" s="59">
        <v>6</v>
      </c>
      <c r="AI85" s="10">
        <v>134</v>
      </c>
      <c r="AJ85" s="5">
        <v>16</v>
      </c>
      <c r="AK85" s="10"/>
      <c r="AL85" s="8"/>
      <c r="AM85" s="10"/>
      <c r="AN85" s="35"/>
      <c r="AO85" s="10"/>
      <c r="AP85" s="10"/>
      <c r="AQ85" s="35"/>
      <c r="AR85" s="59"/>
      <c r="AS85" s="59"/>
      <c r="AT85" s="59"/>
      <c r="AU85" s="59"/>
      <c r="AV85" s="62"/>
      <c r="AW85" s="10"/>
      <c r="AX85" s="326"/>
      <c r="AY85" s="5"/>
      <c r="AZ85" s="10"/>
      <c r="BA85" s="8"/>
      <c r="BB85" s="10"/>
      <c r="BC85" s="10"/>
      <c r="BD85" s="10"/>
      <c r="BE85" s="10"/>
      <c r="BF85" s="10"/>
      <c r="BG85" s="10"/>
      <c r="BH85" s="30"/>
      <c r="BI85" s="10"/>
      <c r="BJ85" s="338"/>
      <c r="BK85" s="338"/>
      <c r="BL85" s="303"/>
      <c r="BM85" s="5"/>
      <c r="BN85" s="10"/>
      <c r="BO85" s="8"/>
      <c r="BP85" s="5"/>
      <c r="BQ85" s="10"/>
      <c r="BR85" s="29">
        <v>1990</v>
      </c>
      <c r="BS85" s="64">
        <v>1990</v>
      </c>
      <c r="BT85" s="14">
        <v>12</v>
      </c>
      <c r="BU85" s="10"/>
      <c r="BV85" s="8"/>
      <c r="BW85" s="10"/>
      <c r="BX85" s="10"/>
      <c r="BY85" s="10"/>
      <c r="BZ85" s="10"/>
      <c r="CA85" s="10"/>
      <c r="CB85" s="10"/>
      <c r="CC85" s="221"/>
      <c r="CD85" s="10"/>
      <c r="CE85" s="317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317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38">
        <f t="shared" si="35"/>
        <v>0</v>
      </c>
      <c r="DW85" s="14" t="str">
        <f t="shared" si="36"/>
        <v>PROB</v>
      </c>
    </row>
    <row r="86" spans="1:127" s="6" customFormat="1" ht="12" thickBot="1">
      <c r="A86" s="212" t="s">
        <v>63</v>
      </c>
      <c r="B86" s="83"/>
      <c r="C86" s="52">
        <f t="shared" ref="C86:X86" si="37">SUM(C62:C85)</f>
        <v>137</v>
      </c>
      <c r="D86" s="53">
        <f t="shared" si="37"/>
        <v>394</v>
      </c>
      <c r="E86" s="53">
        <f t="shared" si="37"/>
        <v>58</v>
      </c>
      <c r="F86" s="53">
        <f t="shared" si="37"/>
        <v>9</v>
      </c>
      <c r="G86" s="53">
        <f t="shared" si="37"/>
        <v>52</v>
      </c>
      <c r="H86" s="53">
        <f t="shared" si="37"/>
        <v>40</v>
      </c>
      <c r="I86" s="53">
        <f>SUM(I62:I85)</f>
        <v>0</v>
      </c>
      <c r="J86" s="53">
        <f t="shared" si="37"/>
        <v>0</v>
      </c>
      <c r="K86" s="53">
        <f t="shared" si="37"/>
        <v>0</v>
      </c>
      <c r="L86" s="53">
        <f t="shared" si="37"/>
        <v>0</v>
      </c>
      <c r="M86" s="53"/>
      <c r="N86" s="53"/>
      <c r="O86" s="53">
        <f>SUM(O62:O85)</f>
        <v>217</v>
      </c>
      <c r="P86" s="53">
        <f t="shared" si="37"/>
        <v>0</v>
      </c>
      <c r="Q86" s="53">
        <f t="shared" si="37"/>
        <v>0</v>
      </c>
      <c r="R86" s="53">
        <f t="shared" si="37"/>
        <v>2</v>
      </c>
      <c r="S86" s="55">
        <f t="shared" si="37"/>
        <v>909</v>
      </c>
      <c r="T86" s="53">
        <f t="shared" si="37"/>
        <v>0</v>
      </c>
      <c r="U86" s="53">
        <f t="shared" si="37"/>
        <v>0</v>
      </c>
      <c r="V86" s="53">
        <f t="shared" ref="V86" si="38">SUM(V62:V85)</f>
        <v>0</v>
      </c>
      <c r="W86" s="53">
        <f t="shared" si="37"/>
        <v>0</v>
      </c>
      <c r="X86" s="54">
        <f t="shared" si="37"/>
        <v>0</v>
      </c>
      <c r="Z86" s="52">
        <f>SUM(Z62:Z85)</f>
        <v>0</v>
      </c>
      <c r="AA86" s="53">
        <f>SUM(AA62:AA85)</f>
        <v>0</v>
      </c>
      <c r="AB86" s="53"/>
      <c r="AC86" s="52">
        <f>SUM(AC62:AC85)</f>
        <v>0</v>
      </c>
      <c r="AD86" s="53">
        <f>SUM(AD62:AD85)</f>
        <v>0</v>
      </c>
      <c r="AE86" s="55">
        <f>SUM(AE62:AE85)</f>
        <v>0</v>
      </c>
      <c r="AG86" s="52">
        <f>SUM(AG62:AG85)</f>
        <v>2095</v>
      </c>
      <c r="AH86" s="53">
        <f>SUM(AH62:AH85)</f>
        <v>288</v>
      </c>
      <c r="AI86" s="53">
        <f>SUM(AI62:AI85)</f>
        <v>3214</v>
      </c>
      <c r="AJ86" s="54">
        <f>SUM(AJ62:AJ85)</f>
        <v>432</v>
      </c>
      <c r="AL86" s="52">
        <f t="shared" ref="AL86:AV86" si="39">SUM(AL62:AL85)</f>
        <v>0</v>
      </c>
      <c r="AM86" s="53">
        <f t="shared" si="39"/>
        <v>0</v>
      </c>
      <c r="AN86" s="55">
        <f t="shared" si="39"/>
        <v>0</v>
      </c>
      <c r="AO86" s="53">
        <f t="shared" si="39"/>
        <v>0</v>
      </c>
      <c r="AP86" s="53">
        <f t="shared" si="39"/>
        <v>0</v>
      </c>
      <c r="AQ86" s="55">
        <f t="shared" si="39"/>
        <v>0</v>
      </c>
      <c r="AR86" s="53">
        <f t="shared" si="39"/>
        <v>0</v>
      </c>
      <c r="AS86" s="53">
        <f t="shared" si="39"/>
        <v>0</v>
      </c>
      <c r="AT86" s="53">
        <f t="shared" si="39"/>
        <v>0</v>
      </c>
      <c r="AU86" s="53">
        <f t="shared" si="39"/>
        <v>0</v>
      </c>
      <c r="AV86" s="54">
        <f t="shared" si="39"/>
        <v>0</v>
      </c>
      <c r="AX86" s="329"/>
      <c r="AY86" s="54"/>
      <c r="BA86" s="52">
        <f t="shared" ref="BA86:BM86" si="40">SUM(BA62:BA85)</f>
        <v>0</v>
      </c>
      <c r="BB86" s="53">
        <f t="shared" si="40"/>
        <v>0</v>
      </c>
      <c r="BC86" s="53">
        <f t="shared" ref="BC86:BL86" si="41">SUM(BC62:BC85)</f>
        <v>0</v>
      </c>
      <c r="BD86" s="53">
        <f t="shared" si="41"/>
        <v>0</v>
      </c>
      <c r="BE86" s="53">
        <f t="shared" si="41"/>
        <v>0</v>
      </c>
      <c r="BF86" s="53">
        <f t="shared" si="41"/>
        <v>0</v>
      </c>
      <c r="BG86" s="53">
        <f t="shared" si="41"/>
        <v>0</v>
      </c>
      <c r="BH86" s="55"/>
      <c r="BI86" s="53">
        <f t="shared" si="41"/>
        <v>0</v>
      </c>
      <c r="BJ86" s="339"/>
      <c r="BK86" s="339"/>
      <c r="BL86" s="53">
        <f t="shared" si="41"/>
        <v>0</v>
      </c>
      <c r="BM86" s="54">
        <f t="shared" si="40"/>
        <v>3564</v>
      </c>
      <c r="BO86" s="52">
        <f>SUM(BO62:BO85)</f>
        <v>0</v>
      </c>
      <c r="BP86" s="54">
        <f>SUM(BP62:BP85)</f>
        <v>0</v>
      </c>
      <c r="BR86" s="81" t="s">
        <v>64</v>
      </c>
      <c r="BS86" s="80"/>
      <c r="BT86" s="82"/>
      <c r="BV86" s="52">
        <f>SUM(BV62:BV85)</f>
        <v>0</v>
      </c>
      <c r="BW86" s="53">
        <f>SUM(BW62:BW85)</f>
        <v>0</v>
      </c>
      <c r="BX86" s="53">
        <f t="shared" ref="BX86:DU86" si="42">SUM(BX62:BX85)</f>
        <v>0</v>
      </c>
      <c r="BY86" s="53">
        <f t="shared" si="42"/>
        <v>0</v>
      </c>
      <c r="BZ86" s="53">
        <f t="shared" si="42"/>
        <v>0</v>
      </c>
      <c r="CA86" s="53">
        <f t="shared" si="42"/>
        <v>0</v>
      </c>
      <c r="CB86" s="53">
        <f t="shared" si="42"/>
        <v>0</v>
      </c>
      <c r="CC86" s="53">
        <f t="shared" si="42"/>
        <v>0</v>
      </c>
      <c r="CD86" s="53">
        <f t="shared" si="42"/>
        <v>0</v>
      </c>
      <c r="CE86" s="53">
        <f t="shared" si="42"/>
        <v>0</v>
      </c>
      <c r="CF86" s="53">
        <f t="shared" si="42"/>
        <v>0</v>
      </c>
      <c r="CG86" s="53">
        <f t="shared" si="42"/>
        <v>0</v>
      </c>
      <c r="CH86" s="53">
        <f t="shared" si="42"/>
        <v>0</v>
      </c>
      <c r="CI86" s="53">
        <f t="shared" si="42"/>
        <v>0</v>
      </c>
      <c r="CJ86" s="53">
        <f t="shared" si="42"/>
        <v>0</v>
      </c>
      <c r="CK86" s="53">
        <f t="shared" si="42"/>
        <v>0</v>
      </c>
      <c r="CL86" s="53">
        <f t="shared" si="42"/>
        <v>0</v>
      </c>
      <c r="CM86" s="53">
        <f t="shared" si="42"/>
        <v>0</v>
      </c>
      <c r="CN86" s="53">
        <f t="shared" si="42"/>
        <v>0</v>
      </c>
      <c r="CO86" s="53">
        <f t="shared" si="42"/>
        <v>0</v>
      </c>
      <c r="CP86" s="53">
        <f t="shared" si="42"/>
        <v>0</v>
      </c>
      <c r="CQ86" s="53">
        <f t="shared" si="42"/>
        <v>0</v>
      </c>
      <c r="CR86" s="53">
        <f t="shared" si="42"/>
        <v>0</v>
      </c>
      <c r="CS86" s="53">
        <f t="shared" si="42"/>
        <v>0</v>
      </c>
      <c r="CT86" s="53">
        <f t="shared" si="42"/>
        <v>0</v>
      </c>
      <c r="CU86" s="53">
        <f t="shared" si="42"/>
        <v>0</v>
      </c>
      <c r="CV86" s="53">
        <f t="shared" si="42"/>
        <v>0</v>
      </c>
      <c r="CW86" s="53">
        <f t="shared" si="42"/>
        <v>0</v>
      </c>
      <c r="CX86" s="53">
        <f t="shared" si="42"/>
        <v>0</v>
      </c>
      <c r="CY86" s="53">
        <f t="shared" si="42"/>
        <v>0</v>
      </c>
      <c r="CZ86" s="53">
        <f t="shared" si="42"/>
        <v>0</v>
      </c>
      <c r="DA86" s="53">
        <f t="shared" si="42"/>
        <v>0</v>
      </c>
      <c r="DB86" s="53">
        <f t="shared" si="42"/>
        <v>0</v>
      </c>
      <c r="DC86" s="53">
        <f t="shared" si="42"/>
        <v>0</v>
      </c>
      <c r="DD86" s="53">
        <f t="shared" si="42"/>
        <v>0</v>
      </c>
      <c r="DE86" s="53">
        <f t="shared" si="42"/>
        <v>0</v>
      </c>
      <c r="DF86" s="53">
        <f t="shared" si="42"/>
        <v>0</v>
      </c>
      <c r="DG86" s="53">
        <f t="shared" si="42"/>
        <v>0</v>
      </c>
      <c r="DH86" s="53">
        <f t="shared" si="42"/>
        <v>0</v>
      </c>
      <c r="DI86" s="53">
        <f t="shared" si="42"/>
        <v>0</v>
      </c>
      <c r="DJ86" s="53">
        <f t="shared" si="42"/>
        <v>0</v>
      </c>
      <c r="DK86" s="53">
        <f t="shared" si="42"/>
        <v>0</v>
      </c>
      <c r="DL86" s="53">
        <f t="shared" si="42"/>
        <v>0</v>
      </c>
      <c r="DM86" s="53">
        <f t="shared" si="42"/>
        <v>0</v>
      </c>
      <c r="DN86" s="53">
        <f t="shared" si="42"/>
        <v>0</v>
      </c>
      <c r="DO86" s="53">
        <f t="shared" si="42"/>
        <v>0</v>
      </c>
      <c r="DP86" s="53">
        <f t="shared" si="42"/>
        <v>0</v>
      </c>
      <c r="DQ86" s="53">
        <f t="shared" si="42"/>
        <v>0</v>
      </c>
      <c r="DR86" s="53">
        <f t="shared" si="42"/>
        <v>0</v>
      </c>
      <c r="DS86" s="53">
        <f t="shared" si="42"/>
        <v>0</v>
      </c>
      <c r="DT86" s="53">
        <f t="shared" si="42"/>
        <v>0</v>
      </c>
      <c r="DU86" s="53">
        <f t="shared" si="42"/>
        <v>0</v>
      </c>
      <c r="DV86" s="54">
        <f t="shared" si="35"/>
        <v>0</v>
      </c>
      <c r="DW86" s="48"/>
    </row>
    <row r="87" spans="1:127" s="6" customFormat="1" ht="12" thickTop="1">
      <c r="A87" s="213" t="s">
        <v>65</v>
      </c>
      <c r="B87" s="24"/>
      <c r="C87" s="39">
        <f t="shared" ref="C87:R87" si="43">ROUND(IF(ISERROR(AVERAGE(C62:C85)),0,AVERAGE(C62:C85)),0)</f>
        <v>6</v>
      </c>
      <c r="D87" s="24">
        <f t="shared" si="43"/>
        <v>16</v>
      </c>
      <c r="E87" s="24">
        <f t="shared" si="43"/>
        <v>2</v>
      </c>
      <c r="F87" s="24">
        <f t="shared" si="43"/>
        <v>0</v>
      </c>
      <c r="G87" s="24">
        <f t="shared" si="43"/>
        <v>2</v>
      </c>
      <c r="H87" s="24">
        <f t="shared" si="43"/>
        <v>2</v>
      </c>
      <c r="I87" s="24">
        <f>ROUND(IF(ISERROR(AVERAGE(I62:I85)),0,AVERAGE(I62:I85)),0)</f>
        <v>0</v>
      </c>
      <c r="J87" s="24">
        <f t="shared" si="43"/>
        <v>0</v>
      </c>
      <c r="K87" s="24">
        <f t="shared" si="43"/>
        <v>0</v>
      </c>
      <c r="L87" s="24">
        <f t="shared" si="43"/>
        <v>0</v>
      </c>
      <c r="M87" s="24"/>
      <c r="N87" s="24"/>
      <c r="O87" s="24">
        <f>ROUND(IF(ISERROR(AVERAGE(O62:O85)),0,AVERAGE(O62:O85)),0)</f>
        <v>9</v>
      </c>
      <c r="P87" s="24">
        <f t="shared" si="43"/>
        <v>0</v>
      </c>
      <c r="Q87" s="24">
        <f t="shared" si="43"/>
        <v>0</v>
      </c>
      <c r="R87" s="24">
        <f t="shared" si="43"/>
        <v>0</v>
      </c>
      <c r="S87" s="31">
        <f>SUM(C87:R87)</f>
        <v>37</v>
      </c>
      <c r="T87" s="24">
        <f>ROUND(IF(ISERROR(AVERAGE(T62:T85)),0,AVERAGE(T62:T85)),0)</f>
        <v>0</v>
      </c>
      <c r="U87" s="24">
        <f>ROUND(IF(ISERROR(AVERAGE(U62:U85)),0,AVERAGE(U62:U85)),0)</f>
        <v>0</v>
      </c>
      <c r="V87" s="24">
        <f>ROUND(IF(ISERROR(AVERAGE(V62:V85)),0,AVERAGE(V62:V85)),0)</f>
        <v>0</v>
      </c>
      <c r="W87" s="24">
        <f>ROUND(IF(ISERROR(AVERAGE(W62:W85)),0,AVERAGE(W62:W85)),0)</f>
        <v>0</v>
      </c>
      <c r="X87" s="40">
        <f>ROUND(IF(ISERROR(AVERAGE(X62:X85)),0,AVERAGE(X62:X85)),0)</f>
        <v>0</v>
      </c>
      <c r="Z87" s="39">
        <f>ROUND(IF(ISERROR(AVERAGE(Z62:Z85)),0,AVERAGE(Z62:Z85)),0)</f>
        <v>0</v>
      </c>
      <c r="AA87" s="24">
        <f>ROUND(IF(ISERROR(AVERAGE(AA62:AA85)),0,AVERAGE(AA62:AA85)),0)</f>
        <v>0</v>
      </c>
      <c r="AB87" s="24"/>
      <c r="AC87" s="39">
        <f>ROUND(IF(ISERROR(AVERAGE(AC62:AC85)),0,AVERAGE(AC62:AC85)),0)</f>
        <v>0</v>
      </c>
      <c r="AD87" s="24">
        <f>ROUND(IF(ISERROR(AVERAGE(AD62:AD85)),0,AVERAGE(AD62:AD85)),0)</f>
        <v>0</v>
      </c>
      <c r="AE87" s="31">
        <f>SUM(AC87:AD87)</f>
        <v>0</v>
      </c>
      <c r="AG87" s="39">
        <f>ROUND(IF(ISERROR(AVERAGE(AG62:AG85)),0,AVERAGE(AG62:AG85)),0)</f>
        <v>87</v>
      </c>
      <c r="AH87" s="24">
        <f>ROUND(IF(ISERROR(AVERAGE(AH62:AH85)),0,AVERAGE(AH62:AH85)),0)</f>
        <v>12</v>
      </c>
      <c r="AI87" s="24">
        <f>ROUND(IF(ISERROR(AVERAGE(AI62:AI85)),0,AVERAGE(AI62:AI85)),0)</f>
        <v>134</v>
      </c>
      <c r="AJ87" s="40">
        <f>ROUND(IF(ISERROR(AVERAGE(AJ62:AJ85)),0,AVERAGE(AJ62:AJ85)),0)</f>
        <v>18</v>
      </c>
      <c r="AL87" s="39">
        <f>ROUND(IF(ISERROR(AVERAGE(AL62:AL85)),0,AVERAGE(AL62:AL85)),0)</f>
        <v>0</v>
      </c>
      <c r="AM87" s="24">
        <f>ROUND(IF(ISERROR(AVERAGE(AM62:AM85)),0,AVERAGE(AM62:AM85)),0)</f>
        <v>0</v>
      </c>
      <c r="AN87" s="31">
        <f>SUM(AL87:AM87)</f>
        <v>0</v>
      </c>
      <c r="AO87" s="24">
        <f>ROUND(IF(ISERROR(AVERAGE(AO62:AO85)),0,AVERAGE(AO62:AO85)),0)</f>
        <v>0</v>
      </c>
      <c r="AP87" s="24">
        <f>ROUND(IF(ISERROR(AVERAGE(AP62:AP85)),0,AVERAGE(AP62:AP85)),0)</f>
        <v>0</v>
      </c>
      <c r="AQ87" s="31">
        <f>SUM(AO87:AP87)</f>
        <v>0</v>
      </c>
      <c r="AR87" s="24">
        <f>ROUND(IF(ISERROR(AVERAGE(AR62:AR85)),0,AVERAGE(AR62:AR85)),0)</f>
        <v>0</v>
      </c>
      <c r="AS87" s="24">
        <f>ROUND(IF(ISERROR(AVERAGE(AS62:AS85)),0,AVERAGE(AS62:AS85)),0)</f>
        <v>0</v>
      </c>
      <c r="AT87" s="24">
        <f>ROUND(IF(ISERROR(AVERAGE(AT62:AT85)),0,AVERAGE(AT62:AT85)),0)</f>
        <v>0</v>
      </c>
      <c r="AU87" s="24">
        <f>ROUND(IF(ISERROR(AVERAGE(AU62:AU85)),0,AVERAGE(AU62:AU85)),0)</f>
        <v>0</v>
      </c>
      <c r="AV87" s="40">
        <f>ROUND(IF(ISERROR(AVERAGE(AV62:AV85)),0,AVERAGE(AV62:AV85)),0)</f>
        <v>0</v>
      </c>
      <c r="AX87" s="330"/>
      <c r="AY87" s="40"/>
      <c r="BA87" s="39">
        <f t="shared" ref="BA87:BM87" si="44">ROUND(IF(ISERROR(AVERAGE(BA62:BA85)),0,AVERAGE(BA62:BA85)),0)</f>
        <v>0</v>
      </c>
      <c r="BB87" s="24">
        <f t="shared" si="44"/>
        <v>0</v>
      </c>
      <c r="BC87" s="24">
        <f t="shared" ref="BC87:BL87" si="45">ROUND(IF(ISERROR(AVERAGE(BC62:BC85)),0,AVERAGE(BC62:BC85)),0)</f>
        <v>0</v>
      </c>
      <c r="BD87" s="24">
        <f t="shared" si="45"/>
        <v>0</v>
      </c>
      <c r="BE87" s="24">
        <f t="shared" si="45"/>
        <v>0</v>
      </c>
      <c r="BF87" s="24">
        <f t="shared" si="45"/>
        <v>0</v>
      </c>
      <c r="BG87" s="24">
        <f t="shared" si="45"/>
        <v>0</v>
      </c>
      <c r="BH87" s="31"/>
      <c r="BI87" s="24">
        <f t="shared" si="45"/>
        <v>0</v>
      </c>
      <c r="BJ87" s="340"/>
      <c r="BK87" s="340"/>
      <c r="BL87" s="24">
        <f t="shared" si="45"/>
        <v>0</v>
      </c>
      <c r="BM87" s="40">
        <f t="shared" si="44"/>
        <v>3564</v>
      </c>
      <c r="BO87" s="39">
        <f>ROUND(IF(ISERROR(AVERAGE(BO62:BO85)),0,AVERAGE(BO62:BO85)),0)</f>
        <v>0</v>
      </c>
      <c r="BP87" s="40">
        <f>ROUND(IF(ISERROR(AVERAGE(BP62:BP85)),0,AVERAGE(BP62:BP85)),0)</f>
        <v>0</v>
      </c>
      <c r="BR87" s="65" t="s">
        <v>66</v>
      </c>
      <c r="BS87" s="19"/>
      <c r="BT87" s="14"/>
      <c r="BV87" s="39">
        <f>ROUND(IF(ISERROR(AVERAGE(BV62:BV85)),0,AVERAGE(BV62:BV85)),0)</f>
        <v>0</v>
      </c>
      <c r="BW87" s="24">
        <f>ROUND(IF(ISERROR(AVERAGE(BW62:BW85)),0,AVERAGE(BW62:BW85)),0)</f>
        <v>0</v>
      </c>
      <c r="BX87" s="24">
        <f t="shared" ref="BX87:DU87" si="46">ROUND(IF(ISERROR(AVERAGE(BX62:BX85)),0,AVERAGE(BX62:BX85)),0)</f>
        <v>0</v>
      </c>
      <c r="BY87" s="24">
        <f t="shared" si="46"/>
        <v>0</v>
      </c>
      <c r="BZ87" s="24">
        <f t="shared" si="46"/>
        <v>0</v>
      </c>
      <c r="CA87" s="24">
        <f t="shared" si="46"/>
        <v>0</v>
      </c>
      <c r="CB87" s="24">
        <f t="shared" si="46"/>
        <v>0</v>
      </c>
      <c r="CC87" s="24">
        <f t="shared" si="46"/>
        <v>0</v>
      </c>
      <c r="CD87" s="24">
        <f t="shared" si="46"/>
        <v>0</v>
      </c>
      <c r="CE87" s="24">
        <f t="shared" si="46"/>
        <v>0</v>
      </c>
      <c r="CF87" s="24">
        <f t="shared" si="46"/>
        <v>0</v>
      </c>
      <c r="CG87" s="24">
        <f t="shared" si="46"/>
        <v>0</v>
      </c>
      <c r="CH87" s="24">
        <f t="shared" si="46"/>
        <v>0</v>
      </c>
      <c r="CI87" s="24">
        <f t="shared" si="46"/>
        <v>0</v>
      </c>
      <c r="CJ87" s="24">
        <f t="shared" si="46"/>
        <v>0</v>
      </c>
      <c r="CK87" s="24">
        <f t="shared" si="46"/>
        <v>0</v>
      </c>
      <c r="CL87" s="24">
        <f t="shared" si="46"/>
        <v>0</v>
      </c>
      <c r="CM87" s="24">
        <f t="shared" si="46"/>
        <v>0</v>
      </c>
      <c r="CN87" s="24">
        <f t="shared" si="46"/>
        <v>0</v>
      </c>
      <c r="CO87" s="24">
        <f t="shared" si="46"/>
        <v>0</v>
      </c>
      <c r="CP87" s="24">
        <f t="shared" si="46"/>
        <v>0</v>
      </c>
      <c r="CQ87" s="24">
        <f t="shared" si="46"/>
        <v>0</v>
      </c>
      <c r="CR87" s="24">
        <f t="shared" si="46"/>
        <v>0</v>
      </c>
      <c r="CS87" s="24">
        <f t="shared" si="46"/>
        <v>0</v>
      </c>
      <c r="CT87" s="24">
        <f t="shared" si="46"/>
        <v>0</v>
      </c>
      <c r="CU87" s="24">
        <f t="shared" si="46"/>
        <v>0</v>
      </c>
      <c r="CV87" s="24">
        <f t="shared" si="46"/>
        <v>0</v>
      </c>
      <c r="CW87" s="24">
        <f t="shared" si="46"/>
        <v>0</v>
      </c>
      <c r="CX87" s="24">
        <f t="shared" si="46"/>
        <v>0</v>
      </c>
      <c r="CY87" s="24">
        <f t="shared" si="46"/>
        <v>0</v>
      </c>
      <c r="CZ87" s="24">
        <f t="shared" si="46"/>
        <v>0</v>
      </c>
      <c r="DA87" s="24">
        <f t="shared" si="46"/>
        <v>0</v>
      </c>
      <c r="DB87" s="24">
        <f t="shared" si="46"/>
        <v>0</v>
      </c>
      <c r="DC87" s="24">
        <f t="shared" si="46"/>
        <v>0</v>
      </c>
      <c r="DD87" s="24">
        <f t="shared" si="46"/>
        <v>0</v>
      </c>
      <c r="DE87" s="24">
        <f t="shared" si="46"/>
        <v>0</v>
      </c>
      <c r="DF87" s="24">
        <f t="shared" si="46"/>
        <v>0</v>
      </c>
      <c r="DG87" s="24">
        <f t="shared" si="46"/>
        <v>0</v>
      </c>
      <c r="DH87" s="24">
        <f t="shared" si="46"/>
        <v>0</v>
      </c>
      <c r="DI87" s="24">
        <f t="shared" si="46"/>
        <v>0</v>
      </c>
      <c r="DJ87" s="24">
        <f t="shared" si="46"/>
        <v>0</v>
      </c>
      <c r="DK87" s="24">
        <f t="shared" si="46"/>
        <v>0</v>
      </c>
      <c r="DL87" s="24">
        <f t="shared" si="46"/>
        <v>0</v>
      </c>
      <c r="DM87" s="24">
        <f t="shared" si="46"/>
        <v>0</v>
      </c>
      <c r="DN87" s="24">
        <f t="shared" si="46"/>
        <v>0</v>
      </c>
      <c r="DO87" s="24">
        <f t="shared" si="46"/>
        <v>0</v>
      </c>
      <c r="DP87" s="24">
        <f t="shared" si="46"/>
        <v>0</v>
      </c>
      <c r="DQ87" s="24">
        <f t="shared" si="46"/>
        <v>0</v>
      </c>
      <c r="DR87" s="24">
        <f t="shared" si="46"/>
        <v>0</v>
      </c>
      <c r="DS87" s="24">
        <f t="shared" si="46"/>
        <v>0</v>
      </c>
      <c r="DT87" s="24">
        <f t="shared" si="46"/>
        <v>0</v>
      </c>
      <c r="DU87" s="24">
        <f t="shared" si="46"/>
        <v>0</v>
      </c>
      <c r="DV87" s="18"/>
      <c r="DW87" s="48"/>
    </row>
    <row r="88" spans="1:127" customFormat="1">
      <c r="A88" s="210" t="s">
        <v>67</v>
      </c>
      <c r="B88" s="211"/>
      <c r="C88" s="8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30">
        <f>MEDIAN(S62:S85)</f>
        <v>31</v>
      </c>
      <c r="T88" s="10"/>
      <c r="U88" s="10"/>
      <c r="V88" s="10"/>
      <c r="W88" s="10"/>
      <c r="X88" s="5"/>
      <c r="Y88" s="10"/>
      <c r="Z88" s="8"/>
      <c r="AA88" s="10" t="str">
        <f>IF(ISERROR(MEDIAN(AA62:AA85)),"",MEDIAN(AA62:AA85))</f>
        <v/>
      </c>
      <c r="AB88" s="10"/>
      <c r="AC88" s="8"/>
      <c r="AD88" s="10"/>
      <c r="AE88" s="30"/>
      <c r="AF88" s="10"/>
      <c r="AG88" s="8"/>
      <c r="AH88" s="10"/>
      <c r="AI88" s="10">
        <f>IF(ISERROR(MEDIAN(AI62:AI85)),"",MEDIAN(AI62:AI85))</f>
        <v>138</v>
      </c>
      <c r="AJ88" s="5">
        <f>IF(ISERROR(MEDIAN(AJ62:AJ85)),"",MEDIAN(AJ62:AJ85))</f>
        <v>16</v>
      </c>
      <c r="AK88" s="10"/>
      <c r="AL88" s="8"/>
      <c r="AM88" s="10"/>
      <c r="AN88" s="30"/>
      <c r="AO88" s="10"/>
      <c r="AP88" s="10"/>
      <c r="AQ88" s="30"/>
      <c r="AR88" s="10"/>
      <c r="AS88" s="10"/>
      <c r="AT88" s="10"/>
      <c r="AU88" s="10"/>
      <c r="AV88" s="5"/>
      <c r="AW88" s="10"/>
      <c r="AX88" s="326"/>
      <c r="AY88" s="5"/>
      <c r="AZ88" s="10"/>
      <c r="BA88" s="8" t="str">
        <f>IF(ISERROR(MEDIAN(BA62:BA85)),"",MEDIAN(BA62:BA85))</f>
        <v/>
      </c>
      <c r="BB88" s="10"/>
      <c r="BC88" s="10"/>
      <c r="BD88" s="10"/>
      <c r="BE88" s="10"/>
      <c r="BF88" s="10"/>
      <c r="BG88" s="10"/>
      <c r="BH88" s="30"/>
      <c r="BI88" s="10"/>
      <c r="BJ88" s="338"/>
      <c r="BK88" s="338"/>
      <c r="BL88" s="303"/>
      <c r="BM88" s="5"/>
      <c r="BN88" s="10"/>
      <c r="BO88" s="8"/>
      <c r="BP88" s="5"/>
      <c r="BQ88" s="10"/>
      <c r="BR88" s="65"/>
      <c r="BS88" s="19"/>
      <c r="BT88" s="14"/>
      <c r="BU88" s="10"/>
      <c r="BV88" s="8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5"/>
      <c r="DW88" s="21"/>
    </row>
    <row r="89" spans="1:127" customFormat="1" ht="12" thickBot="1">
      <c r="A89" s="214" t="s">
        <v>68</v>
      </c>
      <c r="B89" s="195"/>
      <c r="C89" s="4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32">
        <f>MODE(S62:S85)</f>
        <v>25</v>
      </c>
      <c r="T89" s="22"/>
      <c r="U89" s="22"/>
      <c r="V89" s="22"/>
      <c r="W89" s="22"/>
      <c r="X89" s="42"/>
      <c r="Y89" s="22"/>
      <c r="Z89" s="41"/>
      <c r="AA89" s="22"/>
      <c r="AB89" s="22"/>
      <c r="AC89" s="41"/>
      <c r="AD89" s="22"/>
      <c r="AE89" s="32"/>
      <c r="AF89" s="22"/>
      <c r="AG89" s="41"/>
      <c r="AH89" s="22"/>
      <c r="AI89" s="22">
        <f>IF(ISERROR(MODE(AI62:AI85)),"",MODE(AI62:AI85))</f>
        <v>138</v>
      </c>
      <c r="AJ89" s="42">
        <f>IF(ISERROR(MODE(AJ62:AJ85)),"",MODE(AJ62:AJ85))</f>
        <v>16</v>
      </c>
      <c r="AK89" s="22"/>
      <c r="AL89" s="41"/>
      <c r="AM89" s="22"/>
      <c r="AN89" s="32"/>
      <c r="AO89" s="22"/>
      <c r="AP89" s="22"/>
      <c r="AQ89" s="32"/>
      <c r="AR89" s="22"/>
      <c r="AS89" s="22"/>
      <c r="AT89" s="22"/>
      <c r="AU89" s="22"/>
      <c r="AV89" s="42"/>
      <c r="AW89" s="22"/>
      <c r="AX89" s="331"/>
      <c r="AY89" s="42"/>
      <c r="AZ89" s="22"/>
      <c r="BA89" s="41"/>
      <c r="BB89" s="22"/>
      <c r="BC89" s="22"/>
      <c r="BD89" s="22"/>
      <c r="BE89" s="22"/>
      <c r="BF89" s="22"/>
      <c r="BG89" s="22"/>
      <c r="BH89" s="32"/>
      <c r="BI89" s="22"/>
      <c r="BJ89" s="341"/>
      <c r="BK89" s="341"/>
      <c r="BL89" s="306"/>
      <c r="BM89" s="42"/>
      <c r="BN89" s="22"/>
      <c r="BO89" s="41"/>
      <c r="BP89" s="42"/>
      <c r="BQ89" s="22"/>
      <c r="BR89" s="66"/>
      <c r="BS89" s="51"/>
      <c r="BT89" s="67"/>
      <c r="BU89" s="22"/>
      <c r="BV89" s="41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42"/>
      <c r="DW89" s="23"/>
    </row>
    <row r="90" spans="1:127" customFormat="1" ht="12" thickBot="1">
      <c r="A90" s="194"/>
      <c r="B90" s="194"/>
      <c r="C90" s="8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30"/>
      <c r="T90" s="10"/>
      <c r="U90" s="10"/>
      <c r="V90" s="10"/>
      <c r="W90" s="10"/>
      <c r="X90" s="5"/>
      <c r="Z90" s="8"/>
      <c r="AA90" s="10"/>
      <c r="AB90" s="10"/>
      <c r="AC90" s="8"/>
      <c r="AD90" s="10"/>
      <c r="AE90" s="30"/>
      <c r="AG90" s="8"/>
      <c r="AH90" s="10"/>
      <c r="AI90" s="10"/>
      <c r="AJ90" s="5"/>
      <c r="AL90" s="8"/>
      <c r="AM90" s="10"/>
      <c r="AN90" s="30"/>
      <c r="AO90" s="10"/>
      <c r="AP90" s="10"/>
      <c r="AQ90" s="30"/>
      <c r="AR90" s="10"/>
      <c r="AS90" s="10"/>
      <c r="AT90" s="10"/>
      <c r="AU90" s="10"/>
      <c r="AV90" s="5"/>
      <c r="AX90" s="326"/>
      <c r="AY90" s="5"/>
      <c r="AZ90" s="324"/>
      <c r="BA90" s="8"/>
      <c r="BB90" s="10"/>
      <c r="BC90" s="10"/>
      <c r="BD90" s="10"/>
      <c r="BE90" s="10"/>
      <c r="BF90" s="10"/>
      <c r="BG90" s="10"/>
      <c r="BH90" s="30"/>
      <c r="BI90" s="10"/>
      <c r="BJ90" s="338"/>
      <c r="BK90" s="338"/>
      <c r="BL90" s="303"/>
      <c r="BM90" s="5"/>
      <c r="BO90" s="8"/>
      <c r="BP90" s="5"/>
      <c r="BR90" s="65"/>
      <c r="BS90" s="19"/>
      <c r="BT90" s="14"/>
      <c r="BV90" s="8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5"/>
    </row>
    <row r="91" spans="1:127" customFormat="1">
      <c r="A91" s="208">
        <v>33055</v>
      </c>
      <c r="B91" s="209"/>
      <c r="C91" s="36">
        <v>3</v>
      </c>
      <c r="D91" s="9">
        <v>11</v>
      </c>
      <c r="E91" s="9">
        <v>5</v>
      </c>
      <c r="F91" s="9">
        <v>0</v>
      </c>
      <c r="G91" s="9">
        <v>1</v>
      </c>
      <c r="H91" s="9">
        <v>6</v>
      </c>
      <c r="I91" s="9">
        <v>0</v>
      </c>
      <c r="J91" s="9">
        <v>0</v>
      </c>
      <c r="K91" s="9">
        <v>0</v>
      </c>
      <c r="L91" s="9">
        <v>0</v>
      </c>
      <c r="M91" s="9"/>
      <c r="N91" s="9"/>
      <c r="O91" s="9">
        <v>7</v>
      </c>
      <c r="P91" s="9">
        <v>0</v>
      </c>
      <c r="Q91" s="9">
        <v>0</v>
      </c>
      <c r="R91" s="9">
        <v>0</v>
      </c>
      <c r="S91" s="33">
        <f t="shared" ref="S91:S114" si="47">SUM(C91:R91)</f>
        <v>33</v>
      </c>
      <c r="T91" s="9"/>
      <c r="U91" s="9"/>
      <c r="V91" s="9"/>
      <c r="W91" s="9"/>
      <c r="X91" s="37"/>
      <c r="Y91" s="9"/>
      <c r="Z91" s="36"/>
      <c r="AA91" s="9"/>
      <c r="AB91" s="9"/>
      <c r="AC91" s="36"/>
      <c r="AD91" s="9"/>
      <c r="AE91" s="33"/>
      <c r="AF91" s="9"/>
      <c r="AG91" s="36">
        <v>86</v>
      </c>
      <c r="AH91" s="9">
        <v>15</v>
      </c>
      <c r="AI91" s="9">
        <v>134</v>
      </c>
      <c r="AJ91" s="37">
        <v>16</v>
      </c>
      <c r="AK91" s="9"/>
      <c r="AL91" s="36"/>
      <c r="AM91" s="9"/>
      <c r="AN91" s="33"/>
      <c r="AO91" s="9"/>
      <c r="AP91" s="9"/>
      <c r="AQ91" s="33"/>
      <c r="AR91" s="92"/>
      <c r="AS91" s="92"/>
      <c r="AT91" s="92"/>
      <c r="AU91" s="92"/>
      <c r="AV91" s="93"/>
      <c r="AW91" s="9"/>
      <c r="AX91" s="325"/>
      <c r="AY91" s="37"/>
      <c r="AZ91" s="9"/>
      <c r="BA91" s="36"/>
      <c r="BB91" s="9"/>
      <c r="BC91" s="9"/>
      <c r="BD91" s="9"/>
      <c r="BE91" s="9"/>
      <c r="BF91" s="9"/>
      <c r="BG91" s="9"/>
      <c r="BH91" s="350"/>
      <c r="BI91" s="9"/>
      <c r="BJ91" s="337"/>
      <c r="BK91" s="337"/>
      <c r="BL91" s="302"/>
      <c r="BM91" s="37"/>
      <c r="BN91" s="9"/>
      <c r="BO91" s="36"/>
      <c r="BP91" s="37"/>
      <c r="BQ91" s="9"/>
      <c r="BR91" s="74">
        <v>1991</v>
      </c>
      <c r="BS91" s="75">
        <v>1990</v>
      </c>
      <c r="BT91" s="13">
        <v>13</v>
      </c>
      <c r="BU91" s="9"/>
      <c r="BV91" s="36"/>
      <c r="BW91" s="9"/>
      <c r="BX91" s="9"/>
      <c r="BY91" s="9"/>
      <c r="BZ91" s="9"/>
      <c r="CA91" s="9"/>
      <c r="CB91" s="9"/>
      <c r="CC91" s="223"/>
      <c r="CD91" s="9"/>
      <c r="CE91" s="220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220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44">
        <f t="shared" ref="DV91:DV115" si="48">SUM(BV91:DU91)</f>
        <v>0</v>
      </c>
      <c r="DW91" s="13" t="str">
        <f t="shared" ref="DW91:DW114" si="49">IF(DV91=S91,"","PROB")</f>
        <v>PROB</v>
      </c>
    </row>
    <row r="92" spans="1:127" customFormat="1">
      <c r="A92" s="210">
        <v>33069</v>
      </c>
      <c r="B92" s="211"/>
      <c r="C92" s="8">
        <v>3</v>
      </c>
      <c r="D92" s="10">
        <v>23</v>
      </c>
      <c r="E92" s="10">
        <v>3</v>
      </c>
      <c r="F92" s="10">
        <v>1</v>
      </c>
      <c r="G92" s="10">
        <v>2</v>
      </c>
      <c r="H92" s="10">
        <v>1</v>
      </c>
      <c r="I92" s="10">
        <v>0</v>
      </c>
      <c r="J92" s="10">
        <v>0</v>
      </c>
      <c r="K92" s="59">
        <v>0</v>
      </c>
      <c r="L92" s="59">
        <v>0</v>
      </c>
      <c r="M92" s="59"/>
      <c r="N92" s="59"/>
      <c r="O92" s="10">
        <v>17</v>
      </c>
      <c r="P92" s="59">
        <v>0</v>
      </c>
      <c r="Q92" s="10">
        <v>0</v>
      </c>
      <c r="R92" s="10">
        <v>0</v>
      </c>
      <c r="S92" s="35">
        <f t="shared" si="47"/>
        <v>50</v>
      </c>
      <c r="T92" s="10"/>
      <c r="U92" s="10"/>
      <c r="V92" s="10"/>
      <c r="W92" s="10"/>
      <c r="X92" s="5"/>
      <c r="Y92" s="10"/>
      <c r="Z92" s="8"/>
      <c r="AA92" s="10"/>
      <c r="AB92" s="10"/>
      <c r="AC92" s="8"/>
      <c r="AD92" s="10"/>
      <c r="AE92" s="35"/>
      <c r="AF92" s="10"/>
      <c r="AG92" s="8">
        <v>112</v>
      </c>
      <c r="AH92" s="10">
        <v>4</v>
      </c>
      <c r="AI92" s="10">
        <v>138</v>
      </c>
      <c r="AJ92" s="5">
        <v>24</v>
      </c>
      <c r="AK92" s="10"/>
      <c r="AL92" s="8"/>
      <c r="AM92" s="10"/>
      <c r="AN92" s="35"/>
      <c r="AO92" s="10"/>
      <c r="AP92" s="10"/>
      <c r="AQ92" s="35"/>
      <c r="AR92" s="59"/>
      <c r="AS92" s="59"/>
      <c r="AT92" s="59"/>
      <c r="AU92" s="59"/>
      <c r="AV92" s="62"/>
      <c r="AW92" s="10"/>
      <c r="AX92" s="326"/>
      <c r="AY92" s="5"/>
      <c r="AZ92" s="10"/>
      <c r="BA92" s="8"/>
      <c r="BB92" s="10"/>
      <c r="BC92" s="10"/>
      <c r="BD92" s="10"/>
      <c r="BE92" s="10"/>
      <c r="BF92" s="10"/>
      <c r="BG92" s="10"/>
      <c r="BH92" s="30"/>
      <c r="BI92" s="10"/>
      <c r="BJ92" s="338"/>
      <c r="BK92" s="338"/>
      <c r="BL92" s="303"/>
      <c r="BM92" s="5"/>
      <c r="BN92" s="10"/>
      <c r="BO92" s="8"/>
      <c r="BP92" s="5"/>
      <c r="BQ92" s="10"/>
      <c r="BR92" s="29">
        <v>1991</v>
      </c>
      <c r="BS92" s="64">
        <v>1990</v>
      </c>
      <c r="BT92" s="14">
        <v>14</v>
      </c>
      <c r="BU92" s="10"/>
      <c r="BV92" s="8"/>
      <c r="BW92" s="10"/>
      <c r="BX92" s="10"/>
      <c r="BY92" s="10"/>
      <c r="BZ92" s="10"/>
      <c r="CA92" s="10"/>
      <c r="CB92" s="10"/>
      <c r="CC92" s="221"/>
      <c r="CD92" s="10"/>
      <c r="CE92" s="317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317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38">
        <f t="shared" si="48"/>
        <v>0</v>
      </c>
      <c r="DW92" s="14" t="str">
        <f t="shared" si="49"/>
        <v>PROB</v>
      </c>
    </row>
    <row r="93" spans="1:127" customFormat="1">
      <c r="A93" s="210">
        <v>33086</v>
      </c>
      <c r="B93" s="211"/>
      <c r="C93" s="8">
        <v>2</v>
      </c>
      <c r="D93" s="10">
        <v>12</v>
      </c>
      <c r="E93" s="10">
        <v>1</v>
      </c>
      <c r="F93" s="10">
        <v>0</v>
      </c>
      <c r="G93" s="10">
        <v>2</v>
      </c>
      <c r="H93" s="10">
        <v>5</v>
      </c>
      <c r="I93" s="10">
        <v>0</v>
      </c>
      <c r="J93" s="10">
        <v>0</v>
      </c>
      <c r="K93" s="59">
        <v>0</v>
      </c>
      <c r="L93" s="59">
        <v>0</v>
      </c>
      <c r="M93" s="59"/>
      <c r="N93" s="59"/>
      <c r="O93" s="10">
        <v>9</v>
      </c>
      <c r="P93" s="59">
        <v>0</v>
      </c>
      <c r="Q93" s="10">
        <v>0</v>
      </c>
      <c r="R93" s="10">
        <v>0</v>
      </c>
      <c r="S93" s="35">
        <f t="shared" si="47"/>
        <v>31</v>
      </c>
      <c r="T93" s="10"/>
      <c r="U93" s="10"/>
      <c r="V93" s="10"/>
      <c r="W93" s="10"/>
      <c r="X93" s="5"/>
      <c r="Y93" s="10"/>
      <c r="Z93" s="8"/>
      <c r="AA93" s="10"/>
      <c r="AB93" s="10"/>
      <c r="AC93" s="8"/>
      <c r="AD93" s="10"/>
      <c r="AE93" s="35"/>
      <c r="AF93" s="10"/>
      <c r="AG93" s="8">
        <v>65</v>
      </c>
      <c r="AH93" s="10">
        <v>10</v>
      </c>
      <c r="AI93" s="10">
        <v>130</v>
      </c>
      <c r="AJ93" s="5">
        <v>16</v>
      </c>
      <c r="AK93" s="10"/>
      <c r="AL93" s="8"/>
      <c r="AM93" s="10"/>
      <c r="AN93" s="35"/>
      <c r="AO93" s="10"/>
      <c r="AP93" s="10"/>
      <c r="AQ93" s="35"/>
      <c r="AR93" s="59"/>
      <c r="AS93" s="59"/>
      <c r="AT93" s="59"/>
      <c r="AU93" s="59"/>
      <c r="AV93" s="62"/>
      <c r="AW93" s="10"/>
      <c r="AX93" s="326"/>
      <c r="AY93" s="5"/>
      <c r="AZ93" s="10"/>
      <c r="BA93" s="8"/>
      <c r="BB93" s="10"/>
      <c r="BC93" s="10"/>
      <c r="BD93" s="10"/>
      <c r="BE93" s="10"/>
      <c r="BF93" s="10"/>
      <c r="BG93" s="10"/>
      <c r="BH93" s="30"/>
      <c r="BI93" s="10"/>
      <c r="BJ93" s="338"/>
      <c r="BK93" s="338"/>
      <c r="BL93" s="303"/>
      <c r="BM93" s="5"/>
      <c r="BN93" s="10"/>
      <c r="BO93" s="8"/>
      <c r="BP93" s="5"/>
      <c r="BQ93" s="10"/>
      <c r="BR93" s="29">
        <v>1991</v>
      </c>
      <c r="BS93" s="64">
        <v>1990</v>
      </c>
      <c r="BT93" s="14">
        <v>15</v>
      </c>
      <c r="BU93" s="10"/>
      <c r="BV93" s="8"/>
      <c r="BW93" s="10"/>
      <c r="BX93" s="10"/>
      <c r="BY93" s="10"/>
      <c r="BZ93" s="10"/>
      <c r="CA93" s="10"/>
      <c r="CB93" s="10"/>
      <c r="CC93" s="221"/>
      <c r="CD93" s="10"/>
      <c r="CE93" s="317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317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38">
        <f t="shared" si="48"/>
        <v>0</v>
      </c>
      <c r="DW93" s="14" t="str">
        <f t="shared" si="49"/>
        <v>PROB</v>
      </c>
    </row>
    <row r="94" spans="1:127" customFormat="1">
      <c r="A94" s="210">
        <v>33100</v>
      </c>
      <c r="B94" s="211"/>
      <c r="C94" s="8">
        <v>4</v>
      </c>
      <c r="D94" s="10">
        <v>14</v>
      </c>
      <c r="E94" s="10">
        <v>1</v>
      </c>
      <c r="F94" s="10">
        <v>0</v>
      </c>
      <c r="G94" s="10">
        <v>1</v>
      </c>
      <c r="H94" s="10">
        <v>6</v>
      </c>
      <c r="I94" s="10">
        <v>0</v>
      </c>
      <c r="J94" s="10">
        <v>0</v>
      </c>
      <c r="K94" s="59">
        <v>0</v>
      </c>
      <c r="L94" s="59">
        <v>0</v>
      </c>
      <c r="M94" s="59"/>
      <c r="N94" s="59"/>
      <c r="O94" s="10">
        <v>19</v>
      </c>
      <c r="P94" s="59">
        <v>0</v>
      </c>
      <c r="Q94" s="10">
        <v>0</v>
      </c>
      <c r="R94" s="10">
        <v>0</v>
      </c>
      <c r="S94" s="35">
        <f t="shared" si="47"/>
        <v>45</v>
      </c>
      <c r="T94" s="10"/>
      <c r="U94" s="10"/>
      <c r="V94" s="10"/>
      <c r="W94" s="10"/>
      <c r="X94" s="5"/>
      <c r="Y94" s="10"/>
      <c r="Z94" s="8"/>
      <c r="AA94" s="10"/>
      <c r="AB94" s="10"/>
      <c r="AC94" s="8"/>
      <c r="AD94" s="10"/>
      <c r="AE94" s="35"/>
      <c r="AF94" s="10"/>
      <c r="AG94" s="8">
        <v>68</v>
      </c>
      <c r="AH94" s="59">
        <v>8</v>
      </c>
      <c r="AI94" s="10">
        <v>132</v>
      </c>
      <c r="AJ94" s="5">
        <v>16</v>
      </c>
      <c r="AK94" s="10"/>
      <c r="AL94" s="8"/>
      <c r="AM94" s="10"/>
      <c r="AN94" s="35"/>
      <c r="AO94" s="10"/>
      <c r="AP94" s="10"/>
      <c r="AQ94" s="35"/>
      <c r="AR94" s="59"/>
      <c r="AS94" s="59"/>
      <c r="AT94" s="59"/>
      <c r="AU94" s="59"/>
      <c r="AV94" s="62"/>
      <c r="AW94" s="10"/>
      <c r="AX94" s="326"/>
      <c r="AY94" s="5"/>
      <c r="AZ94" s="10"/>
      <c r="BA94" s="8"/>
      <c r="BB94" s="10"/>
      <c r="BC94" s="10"/>
      <c r="BD94" s="10"/>
      <c r="BE94" s="10"/>
      <c r="BF94" s="10"/>
      <c r="BG94" s="10"/>
      <c r="BH94" s="30"/>
      <c r="BI94" s="10"/>
      <c r="BJ94" s="338"/>
      <c r="BK94" s="338"/>
      <c r="BL94" s="303"/>
      <c r="BM94" s="5"/>
      <c r="BN94" s="10"/>
      <c r="BO94" s="8"/>
      <c r="BP94" s="5"/>
      <c r="BQ94" s="10"/>
      <c r="BR94" s="29">
        <v>1991</v>
      </c>
      <c r="BS94" s="64">
        <v>1990</v>
      </c>
      <c r="BT94" s="14">
        <v>16</v>
      </c>
      <c r="BU94" s="10"/>
      <c r="BV94" s="8"/>
      <c r="BW94" s="10"/>
      <c r="BX94" s="10"/>
      <c r="BY94" s="10"/>
      <c r="BZ94" s="10"/>
      <c r="CA94" s="10"/>
      <c r="CB94" s="10"/>
      <c r="CC94" s="221"/>
      <c r="CD94" s="10"/>
      <c r="CE94" s="317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317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38">
        <f t="shared" si="48"/>
        <v>0</v>
      </c>
      <c r="DW94" s="14" t="str">
        <f t="shared" si="49"/>
        <v>PROB</v>
      </c>
    </row>
    <row r="95" spans="1:127" customFormat="1">
      <c r="A95" s="210">
        <v>33117</v>
      </c>
      <c r="B95" s="211"/>
      <c r="C95" s="8">
        <v>5</v>
      </c>
      <c r="D95" s="10">
        <v>18</v>
      </c>
      <c r="E95" s="10">
        <v>1</v>
      </c>
      <c r="F95" s="10">
        <v>0</v>
      </c>
      <c r="G95" s="10">
        <v>3</v>
      </c>
      <c r="H95" s="10">
        <v>2</v>
      </c>
      <c r="I95" s="10">
        <v>0</v>
      </c>
      <c r="J95" s="10">
        <v>0</v>
      </c>
      <c r="K95" s="59">
        <v>0</v>
      </c>
      <c r="L95" s="59">
        <v>0</v>
      </c>
      <c r="M95" s="59"/>
      <c r="N95" s="59"/>
      <c r="O95" s="10">
        <v>20</v>
      </c>
      <c r="P95" s="59">
        <v>0</v>
      </c>
      <c r="Q95" s="10">
        <v>0</v>
      </c>
      <c r="R95" s="10">
        <v>0</v>
      </c>
      <c r="S95" s="35">
        <f t="shared" si="47"/>
        <v>49</v>
      </c>
      <c r="T95" s="10"/>
      <c r="U95" s="10"/>
      <c r="V95" s="10"/>
      <c r="W95" s="10"/>
      <c r="X95" s="5"/>
      <c r="Y95" s="10"/>
      <c r="Z95" s="8"/>
      <c r="AA95" s="10"/>
      <c r="AB95" s="10"/>
      <c r="AC95" s="8"/>
      <c r="AD95" s="10"/>
      <c r="AE95" s="35"/>
      <c r="AF95" s="10"/>
      <c r="AG95" s="8">
        <v>79</v>
      </c>
      <c r="AH95" s="59">
        <v>12</v>
      </c>
      <c r="AI95" s="10">
        <v>134</v>
      </c>
      <c r="AJ95" s="5">
        <v>20</v>
      </c>
      <c r="AK95" s="10"/>
      <c r="AL95" s="8"/>
      <c r="AM95" s="10"/>
      <c r="AN95" s="35"/>
      <c r="AO95" s="10"/>
      <c r="AP95" s="10"/>
      <c r="AQ95" s="35"/>
      <c r="AR95" s="59"/>
      <c r="AS95" s="59"/>
      <c r="AT95" s="59"/>
      <c r="AU95" s="59"/>
      <c r="AV95" s="62"/>
      <c r="AW95" s="10"/>
      <c r="AX95" s="326"/>
      <c r="AY95" s="5"/>
      <c r="AZ95" s="10"/>
      <c r="BA95" s="8"/>
      <c r="BB95" s="10"/>
      <c r="BC95" s="10"/>
      <c r="BD95" s="10"/>
      <c r="BE95" s="10"/>
      <c r="BF95" s="10"/>
      <c r="BG95" s="10"/>
      <c r="BH95" s="30"/>
      <c r="BI95" s="10"/>
      <c r="BJ95" s="338"/>
      <c r="BK95" s="338"/>
      <c r="BL95" s="303"/>
      <c r="BM95" s="5"/>
      <c r="BN95" s="10"/>
      <c r="BO95" s="8"/>
      <c r="BP95" s="5"/>
      <c r="BQ95" s="10"/>
      <c r="BR95" s="29">
        <v>1991</v>
      </c>
      <c r="BS95" s="64">
        <v>1990</v>
      </c>
      <c r="BT95" s="14">
        <v>17</v>
      </c>
      <c r="BU95" s="10"/>
      <c r="BV95" s="8"/>
      <c r="BW95" s="10"/>
      <c r="BX95" s="10"/>
      <c r="BY95" s="10"/>
      <c r="BZ95" s="10"/>
      <c r="CA95" s="10"/>
      <c r="CB95" s="10"/>
      <c r="CC95" s="221"/>
      <c r="CD95" s="10"/>
      <c r="CE95" s="317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317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38">
        <f t="shared" si="48"/>
        <v>0</v>
      </c>
      <c r="DW95" s="14" t="str">
        <f t="shared" si="49"/>
        <v>PROB</v>
      </c>
    </row>
    <row r="96" spans="1:127" customFormat="1">
      <c r="A96" s="210">
        <v>33131</v>
      </c>
      <c r="B96" s="211"/>
      <c r="C96" s="8">
        <v>6</v>
      </c>
      <c r="D96" s="10">
        <v>16</v>
      </c>
      <c r="E96" s="10">
        <v>0</v>
      </c>
      <c r="F96" s="10">
        <v>0</v>
      </c>
      <c r="G96" s="10">
        <v>6</v>
      </c>
      <c r="H96" s="10">
        <v>2</v>
      </c>
      <c r="I96" s="10">
        <v>0</v>
      </c>
      <c r="J96" s="10">
        <v>0</v>
      </c>
      <c r="K96" s="59">
        <v>0</v>
      </c>
      <c r="L96" s="59">
        <v>0</v>
      </c>
      <c r="M96" s="59"/>
      <c r="N96" s="59"/>
      <c r="O96" s="10">
        <v>30</v>
      </c>
      <c r="P96" s="59">
        <v>0</v>
      </c>
      <c r="Q96" s="10">
        <v>0</v>
      </c>
      <c r="R96" s="10">
        <v>0</v>
      </c>
      <c r="S96" s="35">
        <f t="shared" si="47"/>
        <v>60</v>
      </c>
      <c r="T96" s="10"/>
      <c r="U96" s="10"/>
      <c r="V96" s="10"/>
      <c r="W96" s="10"/>
      <c r="X96" s="5"/>
      <c r="Y96" s="10"/>
      <c r="Z96" s="8"/>
      <c r="AA96" s="10"/>
      <c r="AB96" s="10"/>
      <c r="AC96" s="8"/>
      <c r="AD96" s="10"/>
      <c r="AE96" s="35"/>
      <c r="AF96" s="10"/>
      <c r="AG96" s="8">
        <v>66</v>
      </c>
      <c r="AH96" s="59">
        <v>6</v>
      </c>
      <c r="AI96" s="10">
        <v>138</v>
      </c>
      <c r="AJ96" s="5">
        <v>20</v>
      </c>
      <c r="AK96" s="10"/>
      <c r="AL96" s="8"/>
      <c r="AM96" s="10"/>
      <c r="AN96" s="35"/>
      <c r="AO96" s="10"/>
      <c r="AP96" s="10"/>
      <c r="AQ96" s="35"/>
      <c r="AR96" s="59"/>
      <c r="AS96" s="59"/>
      <c r="AT96" s="59"/>
      <c r="AU96" s="59"/>
      <c r="AV96" s="62"/>
      <c r="AW96" s="10"/>
      <c r="AX96" s="326"/>
      <c r="AY96" s="5"/>
      <c r="AZ96" s="10"/>
      <c r="BA96" s="8"/>
      <c r="BB96" s="10"/>
      <c r="BC96" s="10"/>
      <c r="BD96" s="10"/>
      <c r="BE96" s="10"/>
      <c r="BF96" s="10"/>
      <c r="BG96" s="10"/>
      <c r="BH96" s="30"/>
      <c r="BI96" s="10"/>
      <c r="BJ96" s="338"/>
      <c r="BK96" s="338"/>
      <c r="BL96" s="303"/>
      <c r="BM96" s="5"/>
      <c r="BN96" s="10"/>
      <c r="BO96" s="8"/>
      <c r="BP96" s="5"/>
      <c r="BQ96" s="10"/>
      <c r="BR96" s="29">
        <v>1991</v>
      </c>
      <c r="BS96" s="64">
        <v>1990</v>
      </c>
      <c r="BT96" s="14">
        <v>18</v>
      </c>
      <c r="BU96" s="10"/>
      <c r="BV96" s="8"/>
      <c r="BW96" s="10"/>
      <c r="BX96" s="10"/>
      <c r="BY96" s="10"/>
      <c r="BZ96" s="10"/>
      <c r="CA96" s="10"/>
      <c r="CB96" s="10"/>
      <c r="CC96" s="221"/>
      <c r="CD96" s="10"/>
      <c r="CE96" s="317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317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38">
        <f t="shared" si="48"/>
        <v>0</v>
      </c>
      <c r="DW96" s="14" t="str">
        <f t="shared" si="49"/>
        <v>PROB</v>
      </c>
    </row>
    <row r="97" spans="1:127" customFormat="1">
      <c r="A97" s="210">
        <v>33147</v>
      </c>
      <c r="B97" s="211"/>
      <c r="C97" s="8">
        <v>3</v>
      </c>
      <c r="D97" s="10">
        <v>8</v>
      </c>
      <c r="E97" s="10">
        <v>1</v>
      </c>
      <c r="F97" s="10">
        <v>0</v>
      </c>
      <c r="G97" s="10">
        <v>2</v>
      </c>
      <c r="H97" s="10">
        <v>0</v>
      </c>
      <c r="I97" s="10">
        <v>0</v>
      </c>
      <c r="J97" s="10">
        <v>0</v>
      </c>
      <c r="K97" s="59">
        <v>0</v>
      </c>
      <c r="L97" s="59">
        <v>0</v>
      </c>
      <c r="M97" s="59"/>
      <c r="N97" s="59"/>
      <c r="O97" s="10">
        <v>30</v>
      </c>
      <c r="P97" s="59">
        <v>0</v>
      </c>
      <c r="Q97" s="10">
        <v>0</v>
      </c>
      <c r="R97" s="10">
        <v>0</v>
      </c>
      <c r="S97" s="35">
        <f t="shared" si="47"/>
        <v>44</v>
      </c>
      <c r="T97" s="10"/>
      <c r="U97" s="10"/>
      <c r="V97" s="10"/>
      <c r="W97" s="10"/>
      <c r="X97" s="5"/>
      <c r="Y97" s="10"/>
      <c r="Z97" s="8"/>
      <c r="AA97" s="10"/>
      <c r="AB97" s="10"/>
      <c r="AC97" s="8"/>
      <c r="AD97" s="10"/>
      <c r="AE97" s="35"/>
      <c r="AF97" s="10"/>
      <c r="AG97" s="8">
        <v>78</v>
      </c>
      <c r="AH97" s="59">
        <v>27</v>
      </c>
      <c r="AI97" s="10">
        <v>134</v>
      </c>
      <c r="AJ97" s="5">
        <v>16</v>
      </c>
      <c r="AK97" s="10"/>
      <c r="AL97" s="8"/>
      <c r="AM97" s="10"/>
      <c r="AN97" s="35"/>
      <c r="AO97" s="10"/>
      <c r="AP97" s="10"/>
      <c r="AQ97" s="35"/>
      <c r="AR97" s="59"/>
      <c r="AS97" s="59"/>
      <c r="AT97" s="59"/>
      <c r="AU97" s="59"/>
      <c r="AV97" s="62"/>
      <c r="AW97" s="10"/>
      <c r="AX97" s="326"/>
      <c r="AY97" s="5"/>
      <c r="AZ97" s="10"/>
      <c r="BA97" s="8"/>
      <c r="BB97" s="10"/>
      <c r="BC97" s="10"/>
      <c r="BD97" s="10"/>
      <c r="BE97" s="10"/>
      <c r="BF97" s="10"/>
      <c r="BG97" s="10"/>
      <c r="BH97" s="30"/>
      <c r="BI97" s="10"/>
      <c r="BJ97" s="338"/>
      <c r="BK97" s="338"/>
      <c r="BL97" s="303"/>
      <c r="BM97" s="5"/>
      <c r="BN97" s="10"/>
      <c r="BO97" s="8"/>
      <c r="BP97" s="5"/>
      <c r="BQ97" s="10"/>
      <c r="BR97" s="29">
        <v>1991</v>
      </c>
      <c r="BS97" s="64">
        <v>1990</v>
      </c>
      <c r="BT97" s="14">
        <v>19</v>
      </c>
      <c r="BU97" s="10"/>
      <c r="BV97" s="8"/>
      <c r="BW97" s="10"/>
      <c r="BX97" s="10"/>
      <c r="BY97" s="10"/>
      <c r="BZ97" s="10"/>
      <c r="CA97" s="10"/>
      <c r="CB97" s="10"/>
      <c r="CC97" s="221"/>
      <c r="CD97" s="10"/>
      <c r="CE97" s="317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317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38">
        <f t="shared" si="48"/>
        <v>0</v>
      </c>
      <c r="DW97" s="14" t="str">
        <f t="shared" si="49"/>
        <v>PROB</v>
      </c>
    </row>
    <row r="98" spans="1:127" customFormat="1">
      <c r="A98" s="210">
        <v>33161</v>
      </c>
      <c r="B98" s="211"/>
      <c r="C98" s="8">
        <v>3</v>
      </c>
      <c r="D98" s="10">
        <v>11</v>
      </c>
      <c r="E98" s="10">
        <v>0</v>
      </c>
      <c r="F98" s="10">
        <v>0</v>
      </c>
      <c r="G98" s="10">
        <v>2</v>
      </c>
      <c r="H98" s="10">
        <v>2</v>
      </c>
      <c r="I98" s="10">
        <v>0</v>
      </c>
      <c r="J98" s="10">
        <v>0</v>
      </c>
      <c r="K98" s="59">
        <v>0</v>
      </c>
      <c r="L98" s="59">
        <v>0</v>
      </c>
      <c r="M98" s="59"/>
      <c r="N98" s="59"/>
      <c r="O98" s="10">
        <v>16</v>
      </c>
      <c r="P98" s="59">
        <v>0</v>
      </c>
      <c r="Q98" s="10">
        <v>0</v>
      </c>
      <c r="R98" s="10">
        <v>0</v>
      </c>
      <c r="S98" s="35">
        <f t="shared" si="47"/>
        <v>34</v>
      </c>
      <c r="T98" s="10"/>
      <c r="U98" s="10"/>
      <c r="V98" s="10"/>
      <c r="W98" s="10"/>
      <c r="X98" s="5"/>
      <c r="Y98" s="10"/>
      <c r="Z98" s="8"/>
      <c r="AA98" s="10"/>
      <c r="AB98" s="10"/>
      <c r="AC98" s="8"/>
      <c r="AD98" s="10"/>
      <c r="AE98" s="35"/>
      <c r="AF98" s="10"/>
      <c r="AG98" s="8">
        <v>80</v>
      </c>
      <c r="AH98" s="59">
        <v>8</v>
      </c>
      <c r="AI98" s="10">
        <v>134</v>
      </c>
      <c r="AJ98" s="5">
        <v>16</v>
      </c>
      <c r="AK98" s="10"/>
      <c r="AL98" s="8"/>
      <c r="AM98" s="10"/>
      <c r="AN98" s="35"/>
      <c r="AO98" s="10"/>
      <c r="AP98" s="10"/>
      <c r="AQ98" s="35"/>
      <c r="AR98" s="59"/>
      <c r="AS98" s="59"/>
      <c r="AT98" s="59"/>
      <c r="AU98" s="59"/>
      <c r="AV98" s="62"/>
      <c r="AW98" s="10"/>
      <c r="AX98" s="326"/>
      <c r="AY98" s="5"/>
      <c r="AZ98" s="10"/>
      <c r="BA98" s="8"/>
      <c r="BB98" s="10"/>
      <c r="BC98" s="10"/>
      <c r="BD98" s="10"/>
      <c r="BE98" s="10"/>
      <c r="BF98" s="10"/>
      <c r="BG98" s="10"/>
      <c r="BH98" s="30"/>
      <c r="BI98" s="10"/>
      <c r="BJ98" s="338"/>
      <c r="BK98" s="338"/>
      <c r="BL98" s="303"/>
      <c r="BM98" s="5"/>
      <c r="BN98" s="10"/>
      <c r="BO98" s="8"/>
      <c r="BP98" s="5"/>
      <c r="BQ98" s="10"/>
      <c r="BR98" s="29">
        <v>1991</v>
      </c>
      <c r="BS98" s="64">
        <v>1990</v>
      </c>
      <c r="BT98" s="14">
        <v>20</v>
      </c>
      <c r="BU98" s="10"/>
      <c r="BV98" s="8"/>
      <c r="BW98" s="10"/>
      <c r="BX98" s="10"/>
      <c r="BY98" s="10"/>
      <c r="BZ98" s="10"/>
      <c r="CA98" s="10"/>
      <c r="CB98" s="10"/>
      <c r="CC98" s="221"/>
      <c r="CD98" s="10"/>
      <c r="CE98" s="317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317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38">
        <f t="shared" si="48"/>
        <v>0</v>
      </c>
      <c r="DW98" s="14" t="str">
        <f t="shared" si="49"/>
        <v>PROB</v>
      </c>
    </row>
    <row r="99" spans="1:127" customFormat="1">
      <c r="A99" s="210">
        <v>33178</v>
      </c>
      <c r="B99" s="211"/>
      <c r="C99" s="8">
        <v>13</v>
      </c>
      <c r="D99" s="10">
        <v>13</v>
      </c>
      <c r="E99" s="10">
        <v>0</v>
      </c>
      <c r="F99" s="10">
        <v>0</v>
      </c>
      <c r="G99" s="10">
        <v>10</v>
      </c>
      <c r="H99" s="10">
        <v>0</v>
      </c>
      <c r="I99" s="10">
        <v>0</v>
      </c>
      <c r="J99" s="10">
        <v>0</v>
      </c>
      <c r="K99" s="59">
        <v>0</v>
      </c>
      <c r="L99" s="59">
        <v>0</v>
      </c>
      <c r="M99" s="59"/>
      <c r="N99" s="59"/>
      <c r="O99" s="10">
        <v>12</v>
      </c>
      <c r="P99" s="59">
        <v>0</v>
      </c>
      <c r="Q99" s="10">
        <v>0</v>
      </c>
      <c r="R99" s="10">
        <v>0</v>
      </c>
      <c r="S99" s="35">
        <f t="shared" si="47"/>
        <v>48</v>
      </c>
      <c r="T99" s="10"/>
      <c r="U99" s="10"/>
      <c r="V99" s="10"/>
      <c r="W99" s="10"/>
      <c r="X99" s="5"/>
      <c r="Y99" s="10"/>
      <c r="Z99" s="8"/>
      <c r="AA99" s="10"/>
      <c r="AB99" s="10"/>
      <c r="AC99" s="8"/>
      <c r="AD99" s="10"/>
      <c r="AE99" s="35"/>
      <c r="AF99" s="10"/>
      <c r="AG99" s="8">
        <v>62</v>
      </c>
      <c r="AH99" s="59">
        <v>15</v>
      </c>
      <c r="AI99" s="10">
        <v>136</v>
      </c>
      <c r="AJ99" s="5">
        <v>20</v>
      </c>
      <c r="AK99" s="10"/>
      <c r="AL99" s="8"/>
      <c r="AM99" s="10"/>
      <c r="AN99" s="35"/>
      <c r="AO99" s="10"/>
      <c r="AP99" s="10"/>
      <c r="AQ99" s="35"/>
      <c r="AR99" s="59"/>
      <c r="AS99" s="59"/>
      <c r="AT99" s="59"/>
      <c r="AU99" s="59"/>
      <c r="AV99" s="62"/>
      <c r="AW99" s="10"/>
      <c r="AX99" s="326"/>
      <c r="AY99" s="5"/>
      <c r="AZ99" s="10"/>
      <c r="BA99" s="8">
        <v>1559</v>
      </c>
      <c r="BB99" s="10"/>
      <c r="BC99" s="10">
        <v>19068928</v>
      </c>
      <c r="BD99" s="10"/>
      <c r="BE99" s="10"/>
      <c r="BF99" s="10"/>
      <c r="BG99" s="10"/>
      <c r="BH99" s="30"/>
      <c r="BI99" s="10"/>
      <c r="BJ99" s="338"/>
      <c r="BK99" s="338"/>
      <c r="BL99" s="303"/>
      <c r="BM99" s="5"/>
      <c r="BN99" s="10"/>
      <c r="BO99" s="8"/>
      <c r="BP99" s="5"/>
      <c r="BQ99" s="10"/>
      <c r="BR99" s="29">
        <v>1991</v>
      </c>
      <c r="BS99" s="64">
        <v>1990</v>
      </c>
      <c r="BT99" s="14">
        <v>21</v>
      </c>
      <c r="BU99" s="10"/>
      <c r="BV99" s="8"/>
      <c r="BW99" s="10"/>
      <c r="BX99" s="10"/>
      <c r="BY99" s="10"/>
      <c r="BZ99" s="10"/>
      <c r="CA99" s="10"/>
      <c r="CB99" s="10"/>
      <c r="CC99" s="221"/>
      <c r="CD99" s="10"/>
      <c r="CE99" s="317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317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38">
        <f t="shared" si="48"/>
        <v>0</v>
      </c>
      <c r="DW99" s="14" t="str">
        <f t="shared" si="49"/>
        <v>PROB</v>
      </c>
    </row>
    <row r="100" spans="1:127" customFormat="1">
      <c r="A100" s="210">
        <v>33192</v>
      </c>
      <c r="B100" s="211"/>
      <c r="C100" s="8">
        <v>3</v>
      </c>
      <c r="D100" s="10">
        <v>28</v>
      </c>
      <c r="E100" s="10">
        <v>21</v>
      </c>
      <c r="F100" s="10">
        <v>0</v>
      </c>
      <c r="G100" s="10">
        <v>2</v>
      </c>
      <c r="H100" s="10">
        <v>2</v>
      </c>
      <c r="I100" s="10">
        <v>0</v>
      </c>
      <c r="J100" s="10">
        <v>0</v>
      </c>
      <c r="K100" s="59">
        <v>0</v>
      </c>
      <c r="L100" s="59">
        <v>0</v>
      </c>
      <c r="M100" s="59"/>
      <c r="N100" s="59"/>
      <c r="O100" s="10">
        <v>21</v>
      </c>
      <c r="P100" s="59">
        <v>0</v>
      </c>
      <c r="Q100" s="10">
        <v>0</v>
      </c>
      <c r="R100" s="10">
        <v>0</v>
      </c>
      <c r="S100" s="35">
        <f t="shared" si="47"/>
        <v>77</v>
      </c>
      <c r="T100" s="10"/>
      <c r="U100" s="10"/>
      <c r="V100" s="10"/>
      <c r="W100" s="10"/>
      <c r="X100" s="5"/>
      <c r="Y100" s="10"/>
      <c r="Z100" s="8"/>
      <c r="AA100" s="10"/>
      <c r="AB100" s="10"/>
      <c r="AC100" s="8"/>
      <c r="AD100" s="10"/>
      <c r="AE100" s="35"/>
      <c r="AF100" s="10"/>
      <c r="AG100" s="8">
        <v>100</v>
      </c>
      <c r="AH100" s="59">
        <v>4</v>
      </c>
      <c r="AI100" s="10">
        <v>132</v>
      </c>
      <c r="AJ100" s="5">
        <v>20</v>
      </c>
      <c r="AK100" s="10"/>
      <c r="AL100" s="8"/>
      <c r="AM100" s="10"/>
      <c r="AN100" s="35"/>
      <c r="AO100" s="10"/>
      <c r="AP100" s="10"/>
      <c r="AQ100" s="35"/>
      <c r="AR100" s="59"/>
      <c r="AS100" s="59"/>
      <c r="AT100" s="59"/>
      <c r="AU100" s="59"/>
      <c r="AV100" s="62"/>
      <c r="AW100" s="10"/>
      <c r="AX100" s="326"/>
      <c r="AY100" s="5"/>
      <c r="AZ100" s="10"/>
      <c r="BA100" s="8"/>
      <c r="BB100" s="10"/>
      <c r="BC100" s="10"/>
      <c r="BD100" s="10"/>
      <c r="BE100" s="10"/>
      <c r="BF100" s="10"/>
      <c r="BG100" s="10"/>
      <c r="BH100" s="30"/>
      <c r="BI100" s="10"/>
      <c r="BJ100" s="338"/>
      <c r="BK100" s="338"/>
      <c r="BL100" s="303"/>
      <c r="BM100" s="5"/>
      <c r="BN100" s="10"/>
      <c r="BO100" s="8"/>
      <c r="BP100" s="5"/>
      <c r="BQ100" s="10"/>
      <c r="BR100" s="29">
        <v>1991</v>
      </c>
      <c r="BS100" s="64">
        <v>1990</v>
      </c>
      <c r="BT100" s="14">
        <v>22</v>
      </c>
      <c r="BU100" s="10"/>
      <c r="BV100" s="8"/>
      <c r="BW100" s="10"/>
      <c r="BX100" s="10"/>
      <c r="BY100" s="10"/>
      <c r="BZ100" s="10"/>
      <c r="CA100" s="10"/>
      <c r="CB100" s="10"/>
      <c r="CC100" s="221"/>
      <c r="CD100" s="10"/>
      <c r="CE100" s="317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317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38">
        <f t="shared" si="48"/>
        <v>0</v>
      </c>
      <c r="DW100" s="14" t="str">
        <f t="shared" si="49"/>
        <v>PROB</v>
      </c>
    </row>
    <row r="101" spans="1:127" customFormat="1">
      <c r="A101" s="210">
        <v>33208</v>
      </c>
      <c r="B101" s="211"/>
      <c r="C101" s="8">
        <v>1</v>
      </c>
      <c r="D101" s="10">
        <v>29</v>
      </c>
      <c r="E101" s="10">
        <v>6</v>
      </c>
      <c r="F101" s="10">
        <v>3</v>
      </c>
      <c r="G101" s="10">
        <v>0</v>
      </c>
      <c r="H101" s="10">
        <v>2</v>
      </c>
      <c r="I101" s="10">
        <v>0</v>
      </c>
      <c r="J101" s="10">
        <v>0</v>
      </c>
      <c r="K101" s="59">
        <v>0</v>
      </c>
      <c r="L101" s="59">
        <v>0</v>
      </c>
      <c r="M101" s="59"/>
      <c r="N101" s="59"/>
      <c r="O101" s="10">
        <v>12</v>
      </c>
      <c r="P101" s="59">
        <v>0</v>
      </c>
      <c r="Q101" s="10">
        <v>0</v>
      </c>
      <c r="R101" s="10">
        <v>0</v>
      </c>
      <c r="S101" s="35">
        <f t="shared" si="47"/>
        <v>53</v>
      </c>
      <c r="T101" s="10"/>
      <c r="U101" s="10"/>
      <c r="V101" s="10"/>
      <c r="W101" s="10"/>
      <c r="X101" s="5"/>
      <c r="Y101" s="10"/>
      <c r="Z101" s="8"/>
      <c r="AA101" s="10"/>
      <c r="AB101" s="10"/>
      <c r="AC101" s="8"/>
      <c r="AD101" s="10"/>
      <c r="AE101" s="35"/>
      <c r="AF101" s="10"/>
      <c r="AG101" s="8">
        <v>106</v>
      </c>
      <c r="AH101" s="59">
        <v>16</v>
      </c>
      <c r="AI101" s="10">
        <v>150</v>
      </c>
      <c r="AJ101" s="5">
        <v>20</v>
      </c>
      <c r="AK101" s="10"/>
      <c r="AL101" s="8"/>
      <c r="AM101" s="10"/>
      <c r="AN101" s="35"/>
      <c r="AO101" s="10"/>
      <c r="AP101" s="10"/>
      <c r="AQ101" s="35"/>
      <c r="AR101" s="59"/>
      <c r="AS101" s="59"/>
      <c r="AT101" s="59"/>
      <c r="AU101" s="59"/>
      <c r="AV101" s="62"/>
      <c r="AW101" s="10"/>
      <c r="AX101" s="326"/>
      <c r="AY101" s="5"/>
      <c r="AZ101" s="10"/>
      <c r="BA101" s="8"/>
      <c r="BB101" s="10"/>
      <c r="BC101" s="10"/>
      <c r="BD101" s="10"/>
      <c r="BE101" s="10"/>
      <c r="BF101" s="10"/>
      <c r="BG101" s="10"/>
      <c r="BH101" s="30"/>
      <c r="BI101" s="10"/>
      <c r="BJ101" s="338"/>
      <c r="BK101" s="338"/>
      <c r="BL101" s="303"/>
      <c r="BM101" s="5"/>
      <c r="BN101" s="10"/>
      <c r="BO101" s="8"/>
      <c r="BP101" s="5"/>
      <c r="BQ101" s="10"/>
      <c r="BR101" s="29">
        <v>1991</v>
      </c>
      <c r="BS101" s="64">
        <v>1990</v>
      </c>
      <c r="BT101" s="14">
        <v>23</v>
      </c>
      <c r="BU101" s="10"/>
      <c r="BV101" s="8"/>
      <c r="BW101" s="10"/>
      <c r="BX101" s="10"/>
      <c r="BY101" s="10"/>
      <c r="BZ101" s="10"/>
      <c r="CA101" s="10"/>
      <c r="CB101" s="10"/>
      <c r="CC101" s="221"/>
      <c r="CD101" s="10"/>
      <c r="CE101" s="317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317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38">
        <f t="shared" si="48"/>
        <v>0</v>
      </c>
      <c r="DW101" s="14" t="str">
        <f t="shared" si="49"/>
        <v>PROB</v>
      </c>
    </row>
    <row r="102" spans="1:127" customFormat="1">
      <c r="A102" s="210">
        <v>33222</v>
      </c>
      <c r="B102" s="211"/>
      <c r="C102" s="8">
        <v>1</v>
      </c>
      <c r="D102" s="10">
        <v>4</v>
      </c>
      <c r="E102" s="10">
        <v>0</v>
      </c>
      <c r="F102" s="10">
        <v>0</v>
      </c>
      <c r="G102" s="10">
        <v>0</v>
      </c>
      <c r="H102" s="10">
        <v>1</v>
      </c>
      <c r="I102" s="10">
        <v>0</v>
      </c>
      <c r="J102" s="10">
        <v>0</v>
      </c>
      <c r="K102" s="59">
        <v>0</v>
      </c>
      <c r="L102" s="59">
        <v>0</v>
      </c>
      <c r="M102" s="59"/>
      <c r="N102" s="59"/>
      <c r="O102" s="10">
        <v>76</v>
      </c>
      <c r="P102" s="59">
        <v>0</v>
      </c>
      <c r="Q102" s="10">
        <v>0</v>
      </c>
      <c r="R102" s="10">
        <v>0</v>
      </c>
      <c r="S102" s="35">
        <f t="shared" si="47"/>
        <v>82</v>
      </c>
      <c r="T102" s="10"/>
      <c r="U102" s="10"/>
      <c r="V102" s="10"/>
      <c r="W102" s="10"/>
      <c r="X102" s="5"/>
      <c r="Y102" s="10"/>
      <c r="Z102" s="8"/>
      <c r="AA102" s="10"/>
      <c r="AB102" s="10"/>
      <c r="AC102" s="8"/>
      <c r="AD102" s="10"/>
      <c r="AE102" s="35"/>
      <c r="AF102" s="10"/>
      <c r="AG102" s="8">
        <v>35</v>
      </c>
      <c r="AH102" s="59">
        <v>32</v>
      </c>
      <c r="AI102" s="10">
        <v>108</v>
      </c>
      <c r="AJ102" s="5">
        <v>12</v>
      </c>
      <c r="AK102" s="10"/>
      <c r="AL102" s="8"/>
      <c r="AM102" s="10"/>
      <c r="AN102" s="35"/>
      <c r="AO102" s="10"/>
      <c r="AP102" s="10"/>
      <c r="AQ102" s="35"/>
      <c r="AR102" s="59"/>
      <c r="AS102" s="59"/>
      <c r="AT102" s="59"/>
      <c r="AU102" s="59"/>
      <c r="AV102" s="62"/>
      <c r="AW102" s="10"/>
      <c r="AX102" s="326"/>
      <c r="AY102" s="5"/>
      <c r="AZ102" s="10"/>
      <c r="BA102" s="8"/>
      <c r="BB102" s="10"/>
      <c r="BC102" s="10"/>
      <c r="BD102" s="10"/>
      <c r="BE102" s="10"/>
      <c r="BF102" s="10"/>
      <c r="BG102" s="10"/>
      <c r="BH102" s="30"/>
      <c r="BI102" s="10"/>
      <c r="BJ102" s="338"/>
      <c r="BK102" s="338"/>
      <c r="BL102" s="303"/>
      <c r="BM102" s="5"/>
      <c r="BN102" s="10"/>
      <c r="BO102" s="8"/>
      <c r="BP102" s="5"/>
      <c r="BQ102" s="10"/>
      <c r="BR102" s="29">
        <v>1991</v>
      </c>
      <c r="BS102" s="64">
        <v>1990</v>
      </c>
      <c r="BT102" s="14">
        <v>24</v>
      </c>
      <c r="BU102" s="10"/>
      <c r="BV102" s="8"/>
      <c r="BW102" s="10"/>
      <c r="BX102" s="10"/>
      <c r="BY102" s="10"/>
      <c r="BZ102" s="10"/>
      <c r="CA102" s="10"/>
      <c r="CB102" s="10"/>
      <c r="CC102" s="221"/>
      <c r="CD102" s="10"/>
      <c r="CE102" s="317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317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38">
        <f t="shared" si="48"/>
        <v>0</v>
      </c>
      <c r="DW102" s="14" t="str">
        <f t="shared" si="49"/>
        <v>PROB</v>
      </c>
    </row>
    <row r="103" spans="1:127" customFormat="1">
      <c r="A103" s="210">
        <v>33239</v>
      </c>
      <c r="B103" s="211"/>
      <c r="C103" s="8">
        <v>4</v>
      </c>
      <c r="D103" s="10">
        <v>22</v>
      </c>
      <c r="E103" s="10">
        <v>0</v>
      </c>
      <c r="F103" s="10">
        <v>0</v>
      </c>
      <c r="G103" s="10">
        <v>1</v>
      </c>
      <c r="H103" s="10">
        <v>2</v>
      </c>
      <c r="I103" s="10">
        <v>0</v>
      </c>
      <c r="J103" s="10">
        <v>0</v>
      </c>
      <c r="K103" s="59">
        <v>0</v>
      </c>
      <c r="L103" s="59">
        <v>0</v>
      </c>
      <c r="M103" s="59"/>
      <c r="N103" s="59"/>
      <c r="O103" s="10">
        <v>22</v>
      </c>
      <c r="P103" s="59">
        <v>0</v>
      </c>
      <c r="Q103" s="10">
        <v>0</v>
      </c>
      <c r="R103" s="10">
        <v>1</v>
      </c>
      <c r="S103" s="35">
        <f t="shared" si="47"/>
        <v>52</v>
      </c>
      <c r="T103" s="10"/>
      <c r="U103" s="10"/>
      <c r="V103" s="10"/>
      <c r="W103" s="10"/>
      <c r="X103" s="5"/>
      <c r="Y103" s="10"/>
      <c r="Z103" s="8"/>
      <c r="AA103" s="10"/>
      <c r="AB103" s="10"/>
      <c r="AC103" s="8"/>
      <c r="AD103" s="10"/>
      <c r="AE103" s="35"/>
      <c r="AF103" s="10"/>
      <c r="AG103" s="8">
        <v>78</v>
      </c>
      <c r="AH103" s="59">
        <v>18</v>
      </c>
      <c r="AI103" s="10">
        <v>134</v>
      </c>
      <c r="AJ103" s="5">
        <v>24</v>
      </c>
      <c r="AK103" s="10"/>
      <c r="AL103" s="8"/>
      <c r="AM103" s="10"/>
      <c r="AN103" s="35"/>
      <c r="AO103" s="10"/>
      <c r="AP103" s="10"/>
      <c r="AQ103" s="35"/>
      <c r="AR103" s="59"/>
      <c r="AS103" s="59"/>
      <c r="AT103" s="59"/>
      <c r="AU103" s="59"/>
      <c r="AV103" s="62"/>
      <c r="AW103" s="10"/>
      <c r="AX103" s="326"/>
      <c r="AY103" s="5"/>
      <c r="AZ103" s="10"/>
      <c r="BA103" s="8">
        <v>1553</v>
      </c>
      <c r="BB103" s="10"/>
      <c r="BC103" s="10">
        <v>19179520</v>
      </c>
      <c r="BD103" s="10"/>
      <c r="BE103" s="10"/>
      <c r="BF103" s="10"/>
      <c r="BG103" s="10"/>
      <c r="BH103" s="30"/>
      <c r="BI103" s="10"/>
      <c r="BJ103" s="338"/>
      <c r="BK103" s="338"/>
      <c r="BL103" s="303"/>
      <c r="BM103" s="5">
        <f>946+828+957+759</f>
        <v>3490</v>
      </c>
      <c r="BN103" s="10"/>
      <c r="BO103" s="8"/>
      <c r="BP103" s="5"/>
      <c r="BQ103" s="10"/>
      <c r="BR103" s="29">
        <v>1991</v>
      </c>
      <c r="BS103" s="64">
        <v>1991</v>
      </c>
      <c r="BT103" s="14">
        <v>1</v>
      </c>
      <c r="BU103" s="10"/>
      <c r="BV103" s="8"/>
      <c r="BW103" s="10"/>
      <c r="BX103" s="10"/>
      <c r="BY103" s="10"/>
      <c r="BZ103" s="10"/>
      <c r="CA103" s="10"/>
      <c r="CB103" s="10"/>
      <c r="CC103" s="221"/>
      <c r="CD103" s="10"/>
      <c r="CE103" s="317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317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38">
        <f t="shared" si="48"/>
        <v>0</v>
      </c>
      <c r="DW103" s="14" t="str">
        <f t="shared" si="49"/>
        <v>PROB</v>
      </c>
    </row>
    <row r="104" spans="1:127" customFormat="1">
      <c r="A104" s="210">
        <v>33253</v>
      </c>
      <c r="B104" s="211"/>
      <c r="C104" s="8">
        <v>3</v>
      </c>
      <c r="D104" s="10">
        <v>9</v>
      </c>
      <c r="E104" s="10">
        <v>3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59">
        <v>0</v>
      </c>
      <c r="L104" s="59">
        <v>0</v>
      </c>
      <c r="M104" s="59"/>
      <c r="N104" s="59"/>
      <c r="O104" s="10">
        <v>12</v>
      </c>
      <c r="P104" s="59">
        <v>0</v>
      </c>
      <c r="Q104" s="10">
        <v>0</v>
      </c>
      <c r="R104" s="10">
        <v>0</v>
      </c>
      <c r="S104" s="35">
        <f t="shared" si="47"/>
        <v>27</v>
      </c>
      <c r="T104" s="10"/>
      <c r="U104" s="10"/>
      <c r="V104" s="10"/>
      <c r="W104" s="10"/>
      <c r="X104" s="5"/>
      <c r="Y104" s="10"/>
      <c r="Z104" s="8"/>
      <c r="AA104" s="10"/>
      <c r="AB104" s="10"/>
      <c r="AC104" s="8"/>
      <c r="AD104" s="10"/>
      <c r="AE104" s="35"/>
      <c r="AF104" s="10"/>
      <c r="AG104" s="8">
        <v>67</v>
      </c>
      <c r="AH104" s="59">
        <v>4</v>
      </c>
      <c r="AI104" s="10">
        <v>114</v>
      </c>
      <c r="AJ104" s="5">
        <v>12</v>
      </c>
      <c r="AK104" s="10"/>
      <c r="AL104" s="8"/>
      <c r="AM104" s="10"/>
      <c r="AN104" s="35"/>
      <c r="AO104" s="10"/>
      <c r="AP104" s="10"/>
      <c r="AQ104" s="35"/>
      <c r="AR104" s="59"/>
      <c r="AS104" s="59"/>
      <c r="AT104" s="59"/>
      <c r="AU104" s="59"/>
      <c r="AV104" s="62"/>
      <c r="AW104" s="10"/>
      <c r="AX104" s="326"/>
      <c r="AY104" s="5"/>
      <c r="AZ104" s="10"/>
      <c r="BA104" s="8"/>
      <c r="BB104" s="10"/>
      <c r="BC104" s="10"/>
      <c r="BD104" s="10"/>
      <c r="BE104" s="10"/>
      <c r="BF104" s="10"/>
      <c r="BG104" s="10"/>
      <c r="BH104" s="30"/>
      <c r="BI104" s="10"/>
      <c r="BJ104" s="338"/>
      <c r="BK104" s="338"/>
      <c r="BL104" s="303"/>
      <c r="BM104" s="5"/>
      <c r="BN104" s="10"/>
      <c r="BO104" s="8"/>
      <c r="BP104" s="5"/>
      <c r="BQ104" s="10"/>
      <c r="BR104" s="29">
        <v>1991</v>
      </c>
      <c r="BS104" s="64">
        <v>1991</v>
      </c>
      <c r="BT104" s="14">
        <v>2</v>
      </c>
      <c r="BU104" s="10"/>
      <c r="BV104" s="8"/>
      <c r="BW104" s="10"/>
      <c r="BX104" s="10"/>
      <c r="BY104" s="10"/>
      <c r="BZ104" s="10"/>
      <c r="CA104" s="10"/>
      <c r="CB104" s="10"/>
      <c r="CC104" s="221"/>
      <c r="CD104" s="10"/>
      <c r="CE104" s="317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317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38">
        <f t="shared" si="48"/>
        <v>0</v>
      </c>
      <c r="DW104" s="14" t="str">
        <f t="shared" si="49"/>
        <v>PROB</v>
      </c>
    </row>
    <row r="105" spans="1:127" customFormat="1">
      <c r="A105" s="210">
        <v>33270</v>
      </c>
      <c r="B105" s="211"/>
      <c r="C105" s="8">
        <v>7</v>
      </c>
      <c r="D105" s="10">
        <v>10</v>
      </c>
      <c r="E105" s="10">
        <v>1</v>
      </c>
      <c r="F105" s="10">
        <v>0</v>
      </c>
      <c r="G105" s="10">
        <v>3</v>
      </c>
      <c r="H105" s="10">
        <v>0</v>
      </c>
      <c r="I105" s="10">
        <v>0</v>
      </c>
      <c r="J105" s="10">
        <v>0</v>
      </c>
      <c r="K105" s="59">
        <v>0</v>
      </c>
      <c r="L105" s="59">
        <v>0</v>
      </c>
      <c r="M105" s="59"/>
      <c r="N105" s="59"/>
      <c r="O105" s="10">
        <v>7</v>
      </c>
      <c r="P105" s="59">
        <v>0</v>
      </c>
      <c r="Q105" s="10">
        <v>0</v>
      </c>
      <c r="R105" s="10">
        <v>0</v>
      </c>
      <c r="S105" s="35">
        <f t="shared" si="47"/>
        <v>28</v>
      </c>
      <c r="T105" s="10"/>
      <c r="U105" s="10"/>
      <c r="V105" s="10"/>
      <c r="W105" s="10"/>
      <c r="X105" s="5"/>
      <c r="Y105" s="10"/>
      <c r="Z105" s="8"/>
      <c r="AA105" s="10"/>
      <c r="AB105" s="10"/>
      <c r="AC105" s="8"/>
      <c r="AD105" s="10"/>
      <c r="AE105" s="35"/>
      <c r="AF105" s="10"/>
      <c r="AG105" s="8">
        <v>65</v>
      </c>
      <c r="AH105" s="59">
        <v>2</v>
      </c>
      <c r="AI105" s="10">
        <v>128</v>
      </c>
      <c r="AJ105" s="5">
        <v>16</v>
      </c>
      <c r="AK105" s="10"/>
      <c r="AL105" s="8"/>
      <c r="AM105" s="10"/>
      <c r="AN105" s="35"/>
      <c r="AO105" s="10"/>
      <c r="AP105" s="10"/>
      <c r="AQ105" s="35"/>
      <c r="AR105" s="59"/>
      <c r="AS105" s="59"/>
      <c r="AT105" s="59"/>
      <c r="AU105" s="59"/>
      <c r="AV105" s="62"/>
      <c r="AW105" s="10"/>
      <c r="AX105" s="326"/>
      <c r="AY105" s="5"/>
      <c r="AZ105" s="10"/>
      <c r="BA105" s="8">
        <v>1555</v>
      </c>
      <c r="BB105" s="10"/>
      <c r="BC105" s="10">
        <v>19163136</v>
      </c>
      <c r="BD105" s="10"/>
      <c r="BE105" s="10"/>
      <c r="BF105" s="10"/>
      <c r="BG105" s="10"/>
      <c r="BH105" s="30"/>
      <c r="BI105" s="10"/>
      <c r="BJ105" s="338"/>
      <c r="BK105" s="338"/>
      <c r="BL105" s="303"/>
      <c r="BM105" s="5"/>
      <c r="BN105" s="10"/>
      <c r="BO105" s="8"/>
      <c r="BP105" s="5"/>
      <c r="BQ105" s="10"/>
      <c r="BR105" s="29">
        <v>1991</v>
      </c>
      <c r="BS105" s="64">
        <v>1991</v>
      </c>
      <c r="BT105" s="14">
        <v>3</v>
      </c>
      <c r="BU105" s="10"/>
      <c r="BV105" s="8"/>
      <c r="BW105" s="10"/>
      <c r="BX105" s="10"/>
      <c r="BY105" s="10"/>
      <c r="BZ105" s="10"/>
      <c r="CA105" s="10"/>
      <c r="CB105" s="10"/>
      <c r="CC105" s="221"/>
      <c r="CD105" s="10"/>
      <c r="CE105" s="317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317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38">
        <f t="shared" si="48"/>
        <v>0</v>
      </c>
      <c r="DW105" s="14" t="str">
        <f t="shared" si="49"/>
        <v>PROB</v>
      </c>
    </row>
    <row r="106" spans="1:127" customFormat="1">
      <c r="A106" s="210">
        <v>33284</v>
      </c>
      <c r="B106" s="211"/>
      <c r="C106" s="8">
        <v>2</v>
      </c>
      <c r="D106" s="10">
        <v>7</v>
      </c>
      <c r="E106" s="10">
        <v>7</v>
      </c>
      <c r="F106" s="10">
        <v>0</v>
      </c>
      <c r="G106" s="10">
        <v>4</v>
      </c>
      <c r="H106" s="10">
        <v>0</v>
      </c>
      <c r="I106" s="10">
        <v>0</v>
      </c>
      <c r="J106" s="10">
        <v>0</v>
      </c>
      <c r="K106" s="59">
        <v>0</v>
      </c>
      <c r="L106" s="59">
        <v>0</v>
      </c>
      <c r="M106" s="59"/>
      <c r="N106" s="59"/>
      <c r="O106" s="10">
        <v>12</v>
      </c>
      <c r="P106" s="59">
        <v>0</v>
      </c>
      <c r="Q106" s="10">
        <v>0</v>
      </c>
      <c r="R106" s="10">
        <v>0</v>
      </c>
      <c r="S106" s="35">
        <f t="shared" si="47"/>
        <v>32</v>
      </c>
      <c r="T106" s="10"/>
      <c r="U106" s="10"/>
      <c r="V106" s="10"/>
      <c r="W106" s="10"/>
      <c r="X106" s="5"/>
      <c r="Y106" s="10"/>
      <c r="Z106" s="8"/>
      <c r="AA106" s="10"/>
      <c r="AB106" s="10"/>
      <c r="AC106" s="8"/>
      <c r="AD106" s="10"/>
      <c r="AE106" s="35"/>
      <c r="AF106" s="10"/>
      <c r="AG106" s="8">
        <v>64</v>
      </c>
      <c r="AH106" s="59">
        <v>3</v>
      </c>
      <c r="AI106" s="10">
        <v>122</v>
      </c>
      <c r="AJ106" s="5">
        <v>16</v>
      </c>
      <c r="AK106" s="10"/>
      <c r="AL106" s="8"/>
      <c r="AM106" s="10"/>
      <c r="AN106" s="35"/>
      <c r="AO106" s="10"/>
      <c r="AP106" s="10"/>
      <c r="AQ106" s="35"/>
      <c r="AR106" s="59"/>
      <c r="AS106" s="59"/>
      <c r="AT106" s="59"/>
      <c r="AU106" s="59"/>
      <c r="AV106" s="62"/>
      <c r="AW106" s="10"/>
      <c r="AX106" s="326"/>
      <c r="AY106" s="5"/>
      <c r="AZ106" s="10"/>
      <c r="BA106" s="8"/>
      <c r="BB106" s="10"/>
      <c r="BC106" s="10"/>
      <c r="BD106" s="10"/>
      <c r="BE106" s="10"/>
      <c r="BF106" s="10"/>
      <c r="BG106" s="10"/>
      <c r="BH106" s="30"/>
      <c r="BI106" s="10"/>
      <c r="BJ106" s="338"/>
      <c r="BK106" s="338"/>
      <c r="BL106" s="303"/>
      <c r="BM106" s="5"/>
      <c r="BN106" s="10"/>
      <c r="BO106" s="8"/>
      <c r="BP106" s="5"/>
      <c r="BQ106" s="10"/>
      <c r="BR106" s="29">
        <v>1991</v>
      </c>
      <c r="BS106" s="64">
        <v>1991</v>
      </c>
      <c r="BT106" s="14">
        <v>4</v>
      </c>
      <c r="BU106" s="10"/>
      <c r="BV106" s="8"/>
      <c r="BW106" s="10"/>
      <c r="BX106" s="10"/>
      <c r="BY106" s="10"/>
      <c r="BZ106" s="10"/>
      <c r="CA106" s="10"/>
      <c r="CB106" s="10"/>
      <c r="CC106" s="221"/>
      <c r="CD106" s="10"/>
      <c r="CE106" s="317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317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38">
        <f t="shared" si="48"/>
        <v>0</v>
      </c>
      <c r="DW106" s="14" t="str">
        <f t="shared" si="49"/>
        <v>PROB</v>
      </c>
    </row>
    <row r="107" spans="1:127" customFormat="1">
      <c r="A107" s="210">
        <v>33298</v>
      </c>
      <c r="B107" s="211"/>
      <c r="C107" s="8">
        <v>4</v>
      </c>
      <c r="D107" s="10">
        <v>14</v>
      </c>
      <c r="E107" s="10">
        <v>1</v>
      </c>
      <c r="F107" s="10">
        <v>0</v>
      </c>
      <c r="G107" s="10">
        <v>1</v>
      </c>
      <c r="H107" s="10">
        <v>0</v>
      </c>
      <c r="I107" s="10">
        <v>0</v>
      </c>
      <c r="J107" s="10">
        <v>0</v>
      </c>
      <c r="K107" s="59">
        <v>0</v>
      </c>
      <c r="L107" s="59">
        <v>0</v>
      </c>
      <c r="M107" s="59"/>
      <c r="N107" s="59"/>
      <c r="O107" s="10">
        <v>3</v>
      </c>
      <c r="P107" s="59">
        <v>0</v>
      </c>
      <c r="Q107" s="10">
        <v>0</v>
      </c>
      <c r="R107" s="10">
        <v>0</v>
      </c>
      <c r="S107" s="35">
        <f t="shared" si="47"/>
        <v>23</v>
      </c>
      <c r="T107" s="10"/>
      <c r="U107" s="10"/>
      <c r="V107" s="10"/>
      <c r="W107" s="10"/>
      <c r="X107" s="5"/>
      <c r="Y107" s="10"/>
      <c r="Z107" s="8"/>
      <c r="AA107" s="10"/>
      <c r="AB107" s="10"/>
      <c r="AC107" s="8"/>
      <c r="AD107" s="10"/>
      <c r="AE107" s="35"/>
      <c r="AF107" s="10"/>
      <c r="AG107" s="8">
        <v>86</v>
      </c>
      <c r="AH107" s="59">
        <v>3</v>
      </c>
      <c r="AI107" s="10">
        <v>114</v>
      </c>
      <c r="AJ107" s="5">
        <v>16</v>
      </c>
      <c r="AK107" s="10"/>
      <c r="AL107" s="8"/>
      <c r="AM107" s="10"/>
      <c r="AN107" s="35"/>
      <c r="AO107" s="10"/>
      <c r="AP107" s="10"/>
      <c r="AQ107" s="35"/>
      <c r="AR107" s="59"/>
      <c r="AS107" s="59"/>
      <c r="AT107" s="59"/>
      <c r="AU107" s="59"/>
      <c r="AV107" s="62"/>
      <c r="AW107" s="10"/>
      <c r="AX107" s="326"/>
      <c r="AY107" s="5"/>
      <c r="AZ107" s="10"/>
      <c r="BA107" s="8">
        <v>1562</v>
      </c>
      <c r="BB107" s="10"/>
      <c r="BC107" s="10">
        <v>19210240</v>
      </c>
      <c r="BD107" s="10"/>
      <c r="BE107" s="10"/>
      <c r="BF107" s="10"/>
      <c r="BG107" s="10"/>
      <c r="BH107" s="30"/>
      <c r="BI107" s="10"/>
      <c r="BJ107" s="338"/>
      <c r="BK107" s="338"/>
      <c r="BL107" s="303"/>
      <c r="BM107" s="5"/>
      <c r="BN107" s="10"/>
      <c r="BO107" s="8"/>
      <c r="BP107" s="5"/>
      <c r="BQ107" s="10"/>
      <c r="BR107" s="29">
        <v>1991</v>
      </c>
      <c r="BS107" s="64">
        <v>1991</v>
      </c>
      <c r="BT107" s="14">
        <v>5</v>
      </c>
      <c r="BU107" s="10"/>
      <c r="BV107" s="8"/>
      <c r="BW107" s="10"/>
      <c r="BX107" s="10"/>
      <c r="BY107" s="10"/>
      <c r="BZ107" s="10"/>
      <c r="CA107" s="10"/>
      <c r="CB107" s="10"/>
      <c r="CC107" s="221"/>
      <c r="CD107" s="10"/>
      <c r="CE107" s="317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317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38">
        <f t="shared" si="48"/>
        <v>0</v>
      </c>
      <c r="DW107" s="14" t="str">
        <f t="shared" si="49"/>
        <v>PROB</v>
      </c>
    </row>
    <row r="108" spans="1:127" customFormat="1">
      <c r="A108" s="210">
        <v>33312</v>
      </c>
      <c r="B108" s="211"/>
      <c r="C108" s="8">
        <v>2</v>
      </c>
      <c r="D108" s="10">
        <v>14</v>
      </c>
      <c r="E108" s="10">
        <v>9</v>
      </c>
      <c r="F108" s="10">
        <v>0</v>
      </c>
      <c r="G108" s="10">
        <v>3</v>
      </c>
      <c r="H108" s="10">
        <v>6</v>
      </c>
      <c r="I108" s="10">
        <v>0</v>
      </c>
      <c r="J108" s="10">
        <v>0</v>
      </c>
      <c r="K108" s="59">
        <v>0</v>
      </c>
      <c r="L108" s="59">
        <v>0</v>
      </c>
      <c r="M108" s="59"/>
      <c r="N108" s="59"/>
      <c r="O108" s="10">
        <v>11</v>
      </c>
      <c r="P108" s="59">
        <v>0</v>
      </c>
      <c r="Q108" s="10">
        <v>0</v>
      </c>
      <c r="R108" s="10">
        <v>0</v>
      </c>
      <c r="S108" s="35">
        <f t="shared" si="47"/>
        <v>45</v>
      </c>
      <c r="T108" s="10"/>
      <c r="U108" s="10"/>
      <c r="V108" s="10"/>
      <c r="W108" s="10"/>
      <c r="X108" s="5"/>
      <c r="Y108" s="10"/>
      <c r="Z108" s="8"/>
      <c r="AA108" s="10"/>
      <c r="AB108" s="10"/>
      <c r="AC108" s="8"/>
      <c r="AD108" s="10"/>
      <c r="AE108" s="35"/>
      <c r="AF108" s="10"/>
      <c r="AG108" s="8">
        <v>78</v>
      </c>
      <c r="AH108" s="59">
        <v>5</v>
      </c>
      <c r="AI108" s="10">
        <v>130</v>
      </c>
      <c r="AJ108" s="5">
        <v>20</v>
      </c>
      <c r="AK108" s="10"/>
      <c r="AL108" s="8"/>
      <c r="AM108" s="10"/>
      <c r="AN108" s="35"/>
      <c r="AO108" s="10"/>
      <c r="AP108" s="10"/>
      <c r="AQ108" s="35"/>
      <c r="AR108" s="59"/>
      <c r="AS108" s="59"/>
      <c r="AT108" s="59"/>
      <c r="AU108" s="59"/>
      <c r="AV108" s="62"/>
      <c r="AW108" s="10"/>
      <c r="AX108" s="326"/>
      <c r="AY108" s="5"/>
      <c r="AZ108" s="10"/>
      <c r="BA108" s="8"/>
      <c r="BB108" s="10"/>
      <c r="BC108" s="10"/>
      <c r="BD108" s="10"/>
      <c r="BE108" s="10"/>
      <c r="BF108" s="10"/>
      <c r="BG108" s="10"/>
      <c r="BH108" s="30"/>
      <c r="BI108" s="10"/>
      <c r="BJ108" s="338"/>
      <c r="BK108" s="338"/>
      <c r="BL108" s="303"/>
      <c r="BM108" s="5"/>
      <c r="BN108" s="10"/>
      <c r="BO108" s="8"/>
      <c r="BP108" s="5"/>
      <c r="BQ108" s="10"/>
      <c r="BR108" s="29">
        <v>1991</v>
      </c>
      <c r="BS108" s="64">
        <v>1991</v>
      </c>
      <c r="BT108" s="14">
        <v>6</v>
      </c>
      <c r="BU108" s="10"/>
      <c r="BV108" s="8"/>
      <c r="BW108" s="10"/>
      <c r="BX108" s="10"/>
      <c r="BY108" s="10"/>
      <c r="BZ108" s="10"/>
      <c r="CA108" s="10"/>
      <c r="CB108" s="10"/>
      <c r="CC108" s="221"/>
      <c r="CD108" s="10"/>
      <c r="CE108" s="317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317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38">
        <f t="shared" si="48"/>
        <v>0</v>
      </c>
      <c r="DW108" s="14" t="str">
        <f t="shared" si="49"/>
        <v>PROB</v>
      </c>
    </row>
    <row r="109" spans="1:127" customFormat="1">
      <c r="A109" s="210">
        <v>33329</v>
      </c>
      <c r="B109" s="211"/>
      <c r="C109" s="8">
        <v>1</v>
      </c>
      <c r="D109" s="10">
        <v>8</v>
      </c>
      <c r="E109" s="10">
        <v>0</v>
      </c>
      <c r="F109" s="10">
        <v>0</v>
      </c>
      <c r="G109" s="10">
        <v>2</v>
      </c>
      <c r="H109" s="10">
        <v>0</v>
      </c>
      <c r="I109" s="10">
        <v>0</v>
      </c>
      <c r="J109" s="10">
        <v>0</v>
      </c>
      <c r="K109" s="59">
        <v>0</v>
      </c>
      <c r="L109" s="59">
        <v>0</v>
      </c>
      <c r="M109" s="59"/>
      <c r="N109" s="59"/>
      <c r="O109" s="10">
        <v>8</v>
      </c>
      <c r="P109" s="59">
        <v>0</v>
      </c>
      <c r="Q109" s="10">
        <v>0</v>
      </c>
      <c r="R109" s="10">
        <v>0</v>
      </c>
      <c r="S109" s="35">
        <f t="shared" si="47"/>
        <v>19</v>
      </c>
      <c r="T109" s="10"/>
      <c r="U109" s="10"/>
      <c r="V109" s="10"/>
      <c r="W109" s="10"/>
      <c r="X109" s="5"/>
      <c r="Y109" s="10"/>
      <c r="Z109" s="8"/>
      <c r="AA109" s="10"/>
      <c r="AB109" s="10"/>
      <c r="AC109" s="8"/>
      <c r="AD109" s="10"/>
      <c r="AE109" s="35"/>
      <c r="AF109" s="10"/>
      <c r="AG109" s="8">
        <v>20</v>
      </c>
      <c r="AH109" s="59">
        <v>5</v>
      </c>
      <c r="AI109" s="10">
        <v>88</v>
      </c>
      <c r="AJ109" s="5">
        <v>12</v>
      </c>
      <c r="AK109" s="10"/>
      <c r="AL109" s="8"/>
      <c r="AM109" s="10"/>
      <c r="AN109" s="35"/>
      <c r="AO109" s="10"/>
      <c r="AP109" s="10"/>
      <c r="AQ109" s="35"/>
      <c r="AR109" s="59"/>
      <c r="AS109" s="59"/>
      <c r="AT109" s="59"/>
      <c r="AU109" s="59"/>
      <c r="AV109" s="62"/>
      <c r="AW109" s="10"/>
      <c r="AX109" s="326"/>
      <c r="AY109" s="5"/>
      <c r="AZ109" s="10"/>
      <c r="BA109" s="8"/>
      <c r="BB109" s="10"/>
      <c r="BC109" s="10"/>
      <c r="BD109" s="10"/>
      <c r="BE109" s="10"/>
      <c r="BF109" s="10"/>
      <c r="BG109" s="10"/>
      <c r="BH109" s="30"/>
      <c r="BI109" s="10"/>
      <c r="BJ109" s="338"/>
      <c r="BK109" s="338"/>
      <c r="BL109" s="303"/>
      <c r="BM109" s="5"/>
      <c r="BN109" s="10"/>
      <c r="BO109" s="8"/>
      <c r="BP109" s="5"/>
      <c r="BQ109" s="10"/>
      <c r="BR109" s="29">
        <v>1991</v>
      </c>
      <c r="BS109" s="64">
        <v>1991</v>
      </c>
      <c r="BT109" s="14">
        <v>7</v>
      </c>
      <c r="BU109" s="10"/>
      <c r="BV109" s="8"/>
      <c r="BW109" s="10"/>
      <c r="BX109" s="10"/>
      <c r="BY109" s="10"/>
      <c r="BZ109" s="10"/>
      <c r="CA109" s="10"/>
      <c r="CB109" s="10"/>
      <c r="CC109" s="221"/>
      <c r="CD109" s="10"/>
      <c r="CE109" s="317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317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38">
        <f t="shared" si="48"/>
        <v>0</v>
      </c>
      <c r="DW109" s="14" t="str">
        <f t="shared" si="49"/>
        <v>PROB</v>
      </c>
    </row>
    <row r="110" spans="1:127" customFormat="1">
      <c r="A110" s="210">
        <v>33343</v>
      </c>
      <c r="B110" s="211"/>
      <c r="C110" s="8">
        <v>4</v>
      </c>
      <c r="D110" s="10">
        <v>21</v>
      </c>
      <c r="E110" s="10">
        <v>0</v>
      </c>
      <c r="F110" s="10">
        <v>1</v>
      </c>
      <c r="G110" s="10">
        <v>3</v>
      </c>
      <c r="H110" s="10">
        <v>3</v>
      </c>
      <c r="I110" s="10">
        <v>0</v>
      </c>
      <c r="J110" s="10">
        <v>0</v>
      </c>
      <c r="K110" s="59">
        <v>0</v>
      </c>
      <c r="L110" s="59">
        <v>0</v>
      </c>
      <c r="M110" s="59"/>
      <c r="N110" s="59"/>
      <c r="O110" s="10">
        <v>11</v>
      </c>
      <c r="P110" s="59">
        <v>0</v>
      </c>
      <c r="Q110" s="10">
        <v>0</v>
      </c>
      <c r="R110" s="10">
        <v>0</v>
      </c>
      <c r="S110" s="35">
        <f t="shared" si="47"/>
        <v>43</v>
      </c>
      <c r="T110" s="10"/>
      <c r="U110" s="10"/>
      <c r="V110" s="10"/>
      <c r="W110" s="10"/>
      <c r="X110" s="5"/>
      <c r="Y110" s="10"/>
      <c r="Z110" s="8"/>
      <c r="AA110" s="10"/>
      <c r="AB110" s="10"/>
      <c r="AC110" s="8"/>
      <c r="AD110" s="10"/>
      <c r="AE110" s="35"/>
      <c r="AF110" s="10"/>
      <c r="AG110" s="8">
        <v>108</v>
      </c>
      <c r="AH110" s="59">
        <v>6</v>
      </c>
      <c r="AI110" s="10">
        <v>150</v>
      </c>
      <c r="AJ110" s="5">
        <v>20</v>
      </c>
      <c r="AK110" s="10"/>
      <c r="AL110" s="8"/>
      <c r="AM110" s="10"/>
      <c r="AN110" s="35"/>
      <c r="AO110" s="10"/>
      <c r="AP110" s="10"/>
      <c r="AQ110" s="35"/>
      <c r="AR110" s="59"/>
      <c r="AS110" s="59"/>
      <c r="AT110" s="59"/>
      <c r="AU110" s="59"/>
      <c r="AV110" s="62"/>
      <c r="AW110" s="10"/>
      <c r="AX110" s="326"/>
      <c r="AY110" s="5"/>
      <c r="AZ110" s="10"/>
      <c r="BA110" s="8"/>
      <c r="BB110" s="10"/>
      <c r="BC110" s="10"/>
      <c r="BD110" s="10"/>
      <c r="BE110" s="10"/>
      <c r="BF110" s="10"/>
      <c r="BG110" s="10"/>
      <c r="BH110" s="30"/>
      <c r="BI110" s="10"/>
      <c r="BJ110" s="338"/>
      <c r="BK110" s="338"/>
      <c r="BL110" s="303"/>
      <c r="BM110" s="5"/>
      <c r="BN110" s="10"/>
      <c r="BO110" s="8"/>
      <c r="BP110" s="5"/>
      <c r="BQ110" s="10"/>
      <c r="BR110" s="29">
        <v>1991</v>
      </c>
      <c r="BS110" s="64">
        <v>1991</v>
      </c>
      <c r="BT110" s="14">
        <v>8</v>
      </c>
      <c r="BU110" s="10"/>
      <c r="BV110" s="8"/>
      <c r="BW110" s="10"/>
      <c r="BX110" s="10"/>
      <c r="BY110" s="10"/>
      <c r="BZ110" s="10"/>
      <c r="CA110" s="10"/>
      <c r="CB110" s="10"/>
      <c r="CC110" s="221"/>
      <c r="CD110" s="10"/>
      <c r="CE110" s="317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317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38">
        <f t="shared" si="48"/>
        <v>0</v>
      </c>
      <c r="DW110" s="14" t="str">
        <f t="shared" si="49"/>
        <v>PROB</v>
      </c>
    </row>
    <row r="111" spans="1:127" customFormat="1">
      <c r="A111" s="210">
        <v>33359</v>
      </c>
      <c r="B111" s="211"/>
      <c r="C111" s="8">
        <v>3</v>
      </c>
      <c r="D111" s="10">
        <v>31</v>
      </c>
      <c r="E111" s="10">
        <v>2</v>
      </c>
      <c r="F111" s="10">
        <v>0</v>
      </c>
      <c r="G111" s="10">
        <v>1</v>
      </c>
      <c r="H111" s="10">
        <v>1</v>
      </c>
      <c r="I111" s="10">
        <v>0</v>
      </c>
      <c r="J111" s="10">
        <v>0</v>
      </c>
      <c r="K111" s="59">
        <v>0</v>
      </c>
      <c r="L111" s="59">
        <v>0</v>
      </c>
      <c r="M111" s="59"/>
      <c r="N111" s="59"/>
      <c r="O111" s="10">
        <v>7</v>
      </c>
      <c r="P111" s="59">
        <v>0</v>
      </c>
      <c r="Q111" s="10">
        <v>0</v>
      </c>
      <c r="R111" s="10">
        <v>0</v>
      </c>
      <c r="S111" s="35">
        <f t="shared" si="47"/>
        <v>45</v>
      </c>
      <c r="T111" s="10"/>
      <c r="U111" s="10"/>
      <c r="V111" s="10"/>
      <c r="W111" s="10"/>
      <c r="X111" s="5"/>
      <c r="Y111" s="10"/>
      <c r="Z111" s="8"/>
      <c r="AA111" s="10"/>
      <c r="AB111" s="10"/>
      <c r="AC111" s="8"/>
      <c r="AD111" s="10"/>
      <c r="AE111" s="35"/>
      <c r="AF111" s="10"/>
      <c r="AG111" s="8">
        <v>113</v>
      </c>
      <c r="AH111" s="59">
        <v>6</v>
      </c>
      <c r="AI111" s="10">
        <v>150</v>
      </c>
      <c r="AJ111" s="5">
        <v>20</v>
      </c>
      <c r="AK111" s="10"/>
      <c r="AL111" s="8"/>
      <c r="AM111" s="10"/>
      <c r="AN111" s="35"/>
      <c r="AO111" s="10"/>
      <c r="AP111" s="10"/>
      <c r="AQ111" s="35"/>
      <c r="AR111" s="59"/>
      <c r="AS111" s="59"/>
      <c r="AT111" s="59"/>
      <c r="AU111" s="59"/>
      <c r="AV111" s="62"/>
      <c r="AW111" s="10"/>
      <c r="AX111" s="326"/>
      <c r="AY111" s="5"/>
      <c r="AZ111" s="10"/>
      <c r="BA111" s="8">
        <v>1560</v>
      </c>
      <c r="BB111" s="10"/>
      <c r="BC111" s="10">
        <v>18937856</v>
      </c>
      <c r="BD111" s="10"/>
      <c r="BE111" s="10"/>
      <c r="BF111" s="10"/>
      <c r="BG111" s="10"/>
      <c r="BH111" s="30"/>
      <c r="BI111" s="10"/>
      <c r="BJ111" s="338"/>
      <c r="BK111" s="338"/>
      <c r="BL111" s="303"/>
      <c r="BM111" s="5"/>
      <c r="BN111" s="10"/>
      <c r="BO111" s="8"/>
      <c r="BP111" s="5"/>
      <c r="BQ111" s="10"/>
      <c r="BR111" s="29">
        <v>1991</v>
      </c>
      <c r="BS111" s="64">
        <v>1991</v>
      </c>
      <c r="BT111" s="14">
        <v>9</v>
      </c>
      <c r="BU111" s="10"/>
      <c r="BV111" s="8"/>
      <c r="BW111" s="10"/>
      <c r="BX111" s="10"/>
      <c r="BY111" s="10"/>
      <c r="BZ111" s="10"/>
      <c r="CA111" s="10"/>
      <c r="CB111" s="10"/>
      <c r="CC111" s="221"/>
      <c r="CD111" s="10"/>
      <c r="CE111" s="317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317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38">
        <f t="shared" si="48"/>
        <v>0</v>
      </c>
      <c r="DW111" s="14" t="str">
        <f t="shared" si="49"/>
        <v>PROB</v>
      </c>
    </row>
    <row r="112" spans="1:127" customFormat="1">
      <c r="A112" s="210">
        <v>33373</v>
      </c>
      <c r="B112" s="211"/>
      <c r="C112" s="8">
        <v>6</v>
      </c>
      <c r="D112" s="10">
        <v>10</v>
      </c>
      <c r="E112" s="10">
        <v>1</v>
      </c>
      <c r="F112" s="10">
        <v>0</v>
      </c>
      <c r="G112" s="10">
        <v>6</v>
      </c>
      <c r="H112" s="10">
        <v>2</v>
      </c>
      <c r="I112" s="10">
        <v>0</v>
      </c>
      <c r="J112" s="10">
        <v>0</v>
      </c>
      <c r="K112" s="59">
        <v>0</v>
      </c>
      <c r="L112" s="59">
        <v>0</v>
      </c>
      <c r="M112" s="59"/>
      <c r="N112" s="59"/>
      <c r="O112" s="10">
        <v>32</v>
      </c>
      <c r="P112" s="59">
        <v>0</v>
      </c>
      <c r="Q112" s="10">
        <v>0</v>
      </c>
      <c r="R112" s="10">
        <v>0</v>
      </c>
      <c r="S112" s="35">
        <f t="shared" si="47"/>
        <v>57</v>
      </c>
      <c r="T112" s="10"/>
      <c r="U112" s="10"/>
      <c r="V112" s="10"/>
      <c r="W112" s="10"/>
      <c r="X112" s="5"/>
      <c r="Y112" s="10"/>
      <c r="Z112" s="8"/>
      <c r="AA112" s="10"/>
      <c r="AB112" s="10"/>
      <c r="AC112" s="8"/>
      <c r="AD112" s="10"/>
      <c r="AE112" s="35"/>
      <c r="AF112" s="10"/>
      <c r="AG112" s="8">
        <v>56</v>
      </c>
      <c r="AH112" s="59">
        <v>7</v>
      </c>
      <c r="AI112" s="10">
        <v>130</v>
      </c>
      <c r="AJ112" s="5">
        <v>16</v>
      </c>
      <c r="AK112" s="10"/>
      <c r="AL112" s="8"/>
      <c r="AM112" s="10"/>
      <c r="AN112" s="35"/>
      <c r="AO112" s="10"/>
      <c r="AP112" s="10"/>
      <c r="AQ112" s="35"/>
      <c r="AR112" s="59"/>
      <c r="AS112" s="59"/>
      <c r="AT112" s="59"/>
      <c r="AU112" s="59"/>
      <c r="AV112" s="62"/>
      <c r="AW112" s="10"/>
      <c r="AX112" s="326"/>
      <c r="AY112" s="5"/>
      <c r="AZ112" s="10"/>
      <c r="BA112" s="8"/>
      <c r="BB112" s="10"/>
      <c r="BC112" s="10"/>
      <c r="BD112" s="10"/>
      <c r="BE112" s="10"/>
      <c r="BF112" s="10"/>
      <c r="BG112" s="10"/>
      <c r="BH112" s="30"/>
      <c r="BI112" s="10"/>
      <c r="BJ112" s="338"/>
      <c r="BK112" s="338"/>
      <c r="BL112" s="303"/>
      <c r="BM112" s="5"/>
      <c r="BN112" s="10"/>
      <c r="BO112" s="8"/>
      <c r="BP112" s="5"/>
      <c r="BQ112" s="10"/>
      <c r="BR112" s="29">
        <v>1991</v>
      </c>
      <c r="BS112" s="64">
        <v>1991</v>
      </c>
      <c r="BT112" s="14">
        <v>10</v>
      </c>
      <c r="BU112" s="10"/>
      <c r="BV112" s="8"/>
      <c r="BW112" s="10"/>
      <c r="BX112" s="10"/>
      <c r="BY112" s="10"/>
      <c r="BZ112" s="10"/>
      <c r="CA112" s="10"/>
      <c r="CB112" s="10"/>
      <c r="CC112" s="221"/>
      <c r="CD112" s="10"/>
      <c r="CE112" s="317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317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38">
        <f t="shared" si="48"/>
        <v>0</v>
      </c>
      <c r="DW112" s="14" t="str">
        <f t="shared" si="49"/>
        <v>PROB</v>
      </c>
    </row>
    <row r="113" spans="1:127" customFormat="1">
      <c r="A113" s="210">
        <v>33390</v>
      </c>
      <c r="B113" s="211"/>
      <c r="C113" s="8">
        <v>5</v>
      </c>
      <c r="D113" s="10">
        <v>25</v>
      </c>
      <c r="E113" s="10">
        <v>0</v>
      </c>
      <c r="F113" s="10">
        <v>1</v>
      </c>
      <c r="G113" s="10">
        <v>3</v>
      </c>
      <c r="H113" s="10">
        <v>1</v>
      </c>
      <c r="I113" s="10">
        <v>0</v>
      </c>
      <c r="J113" s="10">
        <v>0</v>
      </c>
      <c r="K113" s="59">
        <v>0</v>
      </c>
      <c r="L113" s="59">
        <v>0</v>
      </c>
      <c r="M113" s="59"/>
      <c r="N113" s="59"/>
      <c r="O113" s="10">
        <v>8</v>
      </c>
      <c r="P113" s="59">
        <v>0</v>
      </c>
      <c r="Q113" s="10">
        <v>0</v>
      </c>
      <c r="R113" s="10">
        <v>0</v>
      </c>
      <c r="S113" s="35">
        <f t="shared" si="47"/>
        <v>43</v>
      </c>
      <c r="T113" s="10"/>
      <c r="U113" s="10"/>
      <c r="V113" s="10"/>
      <c r="W113" s="10"/>
      <c r="X113" s="5"/>
      <c r="Y113" s="10"/>
      <c r="Z113" s="8"/>
      <c r="AA113" s="10"/>
      <c r="AB113" s="10"/>
      <c r="AC113" s="8"/>
      <c r="AD113" s="10"/>
      <c r="AE113" s="35"/>
      <c r="AF113" s="10"/>
      <c r="AG113" s="8">
        <v>92</v>
      </c>
      <c r="AH113" s="59">
        <v>8</v>
      </c>
      <c r="AI113" s="10">
        <v>138</v>
      </c>
      <c r="AJ113" s="5">
        <v>20</v>
      </c>
      <c r="AK113" s="10"/>
      <c r="AL113" s="8"/>
      <c r="AM113" s="10"/>
      <c r="AN113" s="35"/>
      <c r="AO113" s="10"/>
      <c r="AP113" s="10"/>
      <c r="AQ113" s="35"/>
      <c r="AR113" s="59"/>
      <c r="AS113" s="59"/>
      <c r="AT113" s="59"/>
      <c r="AU113" s="59"/>
      <c r="AV113" s="62"/>
      <c r="AW113" s="10"/>
      <c r="AX113" s="326"/>
      <c r="AY113" s="5"/>
      <c r="AZ113" s="10"/>
      <c r="BA113" s="8"/>
      <c r="BB113" s="10"/>
      <c r="BC113" s="10"/>
      <c r="BD113" s="10"/>
      <c r="BE113" s="10"/>
      <c r="BF113" s="10"/>
      <c r="BG113" s="10"/>
      <c r="BH113" s="30"/>
      <c r="BI113" s="10"/>
      <c r="BJ113" s="338"/>
      <c r="BK113" s="338"/>
      <c r="BL113" s="303"/>
      <c r="BM113" s="5"/>
      <c r="BN113" s="10"/>
      <c r="BO113" s="8"/>
      <c r="BP113" s="5"/>
      <c r="BQ113" s="10"/>
      <c r="BR113" s="29">
        <v>1991</v>
      </c>
      <c r="BS113" s="64">
        <v>1991</v>
      </c>
      <c r="BT113" s="14">
        <v>11</v>
      </c>
      <c r="BU113" s="10"/>
      <c r="BV113" s="8"/>
      <c r="BW113" s="10"/>
      <c r="BX113" s="10"/>
      <c r="BY113" s="10"/>
      <c r="BZ113" s="10"/>
      <c r="CA113" s="10"/>
      <c r="CB113" s="10"/>
      <c r="CC113" s="221"/>
      <c r="CD113" s="10"/>
      <c r="CE113" s="317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317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38">
        <f t="shared" si="48"/>
        <v>0</v>
      </c>
      <c r="DW113" s="14" t="str">
        <f t="shared" si="49"/>
        <v>PROB</v>
      </c>
    </row>
    <row r="114" spans="1:127" customFormat="1">
      <c r="A114" s="210">
        <v>33404</v>
      </c>
      <c r="B114" s="211"/>
      <c r="C114" s="8">
        <v>3</v>
      </c>
      <c r="D114" s="10">
        <v>22</v>
      </c>
      <c r="E114" s="10">
        <v>2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59">
        <v>0</v>
      </c>
      <c r="L114" s="59">
        <v>0</v>
      </c>
      <c r="M114" s="59"/>
      <c r="N114" s="59"/>
      <c r="O114" s="10">
        <v>9</v>
      </c>
      <c r="P114" s="59">
        <v>0</v>
      </c>
      <c r="Q114" s="10">
        <v>0</v>
      </c>
      <c r="R114" s="10">
        <v>0</v>
      </c>
      <c r="S114" s="35">
        <f t="shared" si="47"/>
        <v>36</v>
      </c>
      <c r="T114" s="10"/>
      <c r="U114" s="10"/>
      <c r="V114" s="10"/>
      <c r="W114" s="10"/>
      <c r="X114" s="5"/>
      <c r="Y114" s="10"/>
      <c r="Z114" s="8"/>
      <c r="AA114" s="10"/>
      <c r="AB114" s="10"/>
      <c r="AC114" s="8"/>
      <c r="AD114" s="10"/>
      <c r="AE114" s="35"/>
      <c r="AF114" s="10"/>
      <c r="AG114" s="8">
        <v>88</v>
      </c>
      <c r="AH114" s="59">
        <v>9</v>
      </c>
      <c r="AI114" s="10">
        <v>138</v>
      </c>
      <c r="AJ114" s="5">
        <v>20</v>
      </c>
      <c r="AK114" s="10"/>
      <c r="AL114" s="8"/>
      <c r="AM114" s="10"/>
      <c r="AN114" s="35"/>
      <c r="AO114" s="10"/>
      <c r="AP114" s="10"/>
      <c r="AQ114" s="35"/>
      <c r="AR114" s="59"/>
      <c r="AS114" s="59"/>
      <c r="AT114" s="59"/>
      <c r="AU114" s="59"/>
      <c r="AV114" s="62"/>
      <c r="AW114" s="10"/>
      <c r="AX114" s="326"/>
      <c r="AY114" s="5"/>
      <c r="AZ114" s="10"/>
      <c r="BA114" s="8"/>
      <c r="BB114" s="10"/>
      <c r="BC114" s="10"/>
      <c r="BD114" s="10"/>
      <c r="BE114" s="10"/>
      <c r="BF114" s="10"/>
      <c r="BG114" s="10"/>
      <c r="BH114" s="30"/>
      <c r="BI114" s="10"/>
      <c r="BJ114" s="338"/>
      <c r="BK114" s="338"/>
      <c r="BL114" s="303"/>
      <c r="BM114" s="5"/>
      <c r="BN114" s="10"/>
      <c r="BO114" s="8"/>
      <c r="BP114" s="5"/>
      <c r="BQ114" s="10"/>
      <c r="BR114" s="29">
        <v>1991</v>
      </c>
      <c r="BS114" s="64">
        <v>1991</v>
      </c>
      <c r="BT114" s="14">
        <v>12</v>
      </c>
      <c r="BU114" s="10"/>
      <c r="BV114" s="8"/>
      <c r="BW114" s="10"/>
      <c r="BX114" s="10"/>
      <c r="BY114" s="10"/>
      <c r="BZ114" s="10"/>
      <c r="CA114" s="10"/>
      <c r="CB114" s="10"/>
      <c r="CC114" s="221"/>
      <c r="CD114" s="10"/>
      <c r="CE114" s="317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317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38">
        <f t="shared" si="48"/>
        <v>0</v>
      </c>
      <c r="DW114" s="14" t="str">
        <f t="shared" si="49"/>
        <v>PROB</v>
      </c>
    </row>
    <row r="115" spans="1:127" s="6" customFormat="1" ht="12" thickBot="1">
      <c r="A115" s="212" t="s">
        <v>69</v>
      </c>
      <c r="B115" s="83"/>
      <c r="C115" s="52">
        <f t="shared" ref="C115:X115" si="50">SUM(C91:C114)</f>
        <v>91</v>
      </c>
      <c r="D115" s="53">
        <f t="shared" si="50"/>
        <v>380</v>
      </c>
      <c r="E115" s="53">
        <f t="shared" si="50"/>
        <v>65</v>
      </c>
      <c r="F115" s="53">
        <f t="shared" si="50"/>
        <v>6</v>
      </c>
      <c r="G115" s="53">
        <f t="shared" si="50"/>
        <v>58</v>
      </c>
      <c r="H115" s="53">
        <f t="shared" si="50"/>
        <v>44</v>
      </c>
      <c r="I115" s="53">
        <f>SUM(I91:I114)</f>
        <v>0</v>
      </c>
      <c r="J115" s="53">
        <f t="shared" si="50"/>
        <v>0</v>
      </c>
      <c r="K115" s="53">
        <f t="shared" si="50"/>
        <v>0</v>
      </c>
      <c r="L115" s="53">
        <f t="shared" si="50"/>
        <v>0</v>
      </c>
      <c r="M115" s="53"/>
      <c r="N115" s="53"/>
      <c r="O115" s="53">
        <f>SUM(O91:O114)</f>
        <v>411</v>
      </c>
      <c r="P115" s="53">
        <f t="shared" si="50"/>
        <v>0</v>
      </c>
      <c r="Q115" s="53">
        <f t="shared" si="50"/>
        <v>0</v>
      </c>
      <c r="R115" s="53">
        <f t="shared" si="50"/>
        <v>1</v>
      </c>
      <c r="S115" s="55">
        <f t="shared" si="50"/>
        <v>1056</v>
      </c>
      <c r="T115" s="53">
        <f t="shared" si="50"/>
        <v>0</v>
      </c>
      <c r="U115" s="53">
        <f t="shared" si="50"/>
        <v>0</v>
      </c>
      <c r="V115" s="53">
        <f t="shared" ref="V115" si="51">SUM(V91:V114)</f>
        <v>0</v>
      </c>
      <c r="W115" s="53">
        <f t="shared" si="50"/>
        <v>0</v>
      </c>
      <c r="X115" s="54">
        <f t="shared" si="50"/>
        <v>0</v>
      </c>
      <c r="Z115" s="52">
        <f>SUM(Z91:Z114)</f>
        <v>0</v>
      </c>
      <c r="AA115" s="53">
        <f>SUM(AA91:AA114)</f>
        <v>0</v>
      </c>
      <c r="AB115" s="53"/>
      <c r="AC115" s="52">
        <f>SUM(AC91:AC114)</f>
        <v>0</v>
      </c>
      <c r="AD115" s="53">
        <f>SUM(AD91:AD114)</f>
        <v>0</v>
      </c>
      <c r="AE115" s="55">
        <f>SUM(AE91:AE114)</f>
        <v>0</v>
      </c>
      <c r="AG115" s="52">
        <f>SUM(AG91:AG114)</f>
        <v>1852</v>
      </c>
      <c r="AH115" s="53">
        <f>SUM(AH91:AH114)</f>
        <v>233</v>
      </c>
      <c r="AI115" s="53">
        <f>SUM(AI91:AI114)</f>
        <v>3136</v>
      </c>
      <c r="AJ115" s="54">
        <f>SUM(AJ91:AJ114)</f>
        <v>428</v>
      </c>
      <c r="AL115" s="52">
        <f t="shared" ref="AL115:AV115" si="52">SUM(AL91:AL114)</f>
        <v>0</v>
      </c>
      <c r="AM115" s="53">
        <f t="shared" si="52"/>
        <v>0</v>
      </c>
      <c r="AN115" s="55">
        <f t="shared" si="52"/>
        <v>0</v>
      </c>
      <c r="AO115" s="53">
        <f t="shared" si="52"/>
        <v>0</v>
      </c>
      <c r="AP115" s="53">
        <f t="shared" si="52"/>
        <v>0</v>
      </c>
      <c r="AQ115" s="55">
        <f t="shared" si="52"/>
        <v>0</v>
      </c>
      <c r="AR115" s="53">
        <f t="shared" si="52"/>
        <v>0</v>
      </c>
      <c r="AS115" s="53">
        <f t="shared" si="52"/>
        <v>0</v>
      </c>
      <c r="AT115" s="53">
        <f t="shared" si="52"/>
        <v>0</v>
      </c>
      <c r="AU115" s="53">
        <f t="shared" si="52"/>
        <v>0</v>
      </c>
      <c r="AV115" s="54">
        <f t="shared" si="52"/>
        <v>0</v>
      </c>
      <c r="AX115" s="329"/>
      <c r="AY115" s="54"/>
      <c r="BA115" s="52">
        <f t="shared" ref="BA115:BM115" si="53">SUM(BA91:BA114)</f>
        <v>7789</v>
      </c>
      <c r="BB115" s="53">
        <f t="shared" si="53"/>
        <v>0</v>
      </c>
      <c r="BC115" s="53">
        <f t="shared" ref="BC115:BL115" si="54">SUM(BC91:BC114)</f>
        <v>95559680</v>
      </c>
      <c r="BD115" s="53">
        <f t="shared" si="54"/>
        <v>0</v>
      </c>
      <c r="BE115" s="53">
        <f t="shared" si="54"/>
        <v>0</v>
      </c>
      <c r="BF115" s="53">
        <f t="shared" si="54"/>
        <v>0</v>
      </c>
      <c r="BG115" s="53">
        <f t="shared" si="54"/>
        <v>0</v>
      </c>
      <c r="BH115" s="55"/>
      <c r="BI115" s="53">
        <f t="shared" si="54"/>
        <v>0</v>
      </c>
      <c r="BJ115" s="339"/>
      <c r="BK115" s="339"/>
      <c r="BL115" s="53">
        <f t="shared" si="54"/>
        <v>0</v>
      </c>
      <c r="BM115" s="54">
        <f t="shared" si="53"/>
        <v>3490</v>
      </c>
      <c r="BO115" s="52">
        <f>SUM(BO91:BO114)</f>
        <v>0</v>
      </c>
      <c r="BP115" s="54">
        <f>SUM(BP91:BP114)</f>
        <v>0</v>
      </c>
      <c r="BR115" s="81" t="s">
        <v>70</v>
      </c>
      <c r="BS115" s="80"/>
      <c r="BT115" s="82"/>
      <c r="BV115" s="52">
        <f>SUM(BV91:BV114)</f>
        <v>0</v>
      </c>
      <c r="BW115" s="53">
        <f>SUM(BW91:BW114)</f>
        <v>0</v>
      </c>
      <c r="BX115" s="53">
        <f t="shared" ref="BX115:DU115" si="55">SUM(BX91:BX114)</f>
        <v>0</v>
      </c>
      <c r="BY115" s="53">
        <f t="shared" si="55"/>
        <v>0</v>
      </c>
      <c r="BZ115" s="53">
        <f t="shared" si="55"/>
        <v>0</v>
      </c>
      <c r="CA115" s="53">
        <f t="shared" si="55"/>
        <v>0</v>
      </c>
      <c r="CB115" s="53">
        <f t="shared" si="55"/>
        <v>0</v>
      </c>
      <c r="CC115" s="53">
        <f t="shared" si="55"/>
        <v>0</v>
      </c>
      <c r="CD115" s="53">
        <f t="shared" si="55"/>
        <v>0</v>
      </c>
      <c r="CE115" s="53">
        <f t="shared" si="55"/>
        <v>0</v>
      </c>
      <c r="CF115" s="53">
        <f t="shared" si="55"/>
        <v>0</v>
      </c>
      <c r="CG115" s="53">
        <f t="shared" si="55"/>
        <v>0</v>
      </c>
      <c r="CH115" s="53">
        <f t="shared" si="55"/>
        <v>0</v>
      </c>
      <c r="CI115" s="53">
        <f t="shared" si="55"/>
        <v>0</v>
      </c>
      <c r="CJ115" s="53">
        <f t="shared" si="55"/>
        <v>0</v>
      </c>
      <c r="CK115" s="53">
        <f t="shared" si="55"/>
        <v>0</v>
      </c>
      <c r="CL115" s="53">
        <f t="shared" si="55"/>
        <v>0</v>
      </c>
      <c r="CM115" s="53">
        <f t="shared" si="55"/>
        <v>0</v>
      </c>
      <c r="CN115" s="53">
        <f t="shared" si="55"/>
        <v>0</v>
      </c>
      <c r="CO115" s="53">
        <f t="shared" si="55"/>
        <v>0</v>
      </c>
      <c r="CP115" s="53">
        <f t="shared" si="55"/>
        <v>0</v>
      </c>
      <c r="CQ115" s="53">
        <f t="shared" si="55"/>
        <v>0</v>
      </c>
      <c r="CR115" s="53">
        <f t="shared" si="55"/>
        <v>0</v>
      </c>
      <c r="CS115" s="53">
        <f t="shared" si="55"/>
        <v>0</v>
      </c>
      <c r="CT115" s="53">
        <f t="shared" si="55"/>
        <v>0</v>
      </c>
      <c r="CU115" s="53">
        <f t="shared" si="55"/>
        <v>0</v>
      </c>
      <c r="CV115" s="53">
        <f t="shared" si="55"/>
        <v>0</v>
      </c>
      <c r="CW115" s="53">
        <f t="shared" si="55"/>
        <v>0</v>
      </c>
      <c r="CX115" s="53">
        <f t="shared" si="55"/>
        <v>0</v>
      </c>
      <c r="CY115" s="53">
        <f t="shared" si="55"/>
        <v>0</v>
      </c>
      <c r="CZ115" s="53">
        <f t="shared" si="55"/>
        <v>0</v>
      </c>
      <c r="DA115" s="53">
        <f t="shared" si="55"/>
        <v>0</v>
      </c>
      <c r="DB115" s="53">
        <f t="shared" si="55"/>
        <v>0</v>
      </c>
      <c r="DC115" s="53">
        <f t="shared" si="55"/>
        <v>0</v>
      </c>
      <c r="DD115" s="53">
        <f t="shared" si="55"/>
        <v>0</v>
      </c>
      <c r="DE115" s="53">
        <f t="shared" si="55"/>
        <v>0</v>
      </c>
      <c r="DF115" s="53">
        <f t="shared" si="55"/>
        <v>0</v>
      </c>
      <c r="DG115" s="53">
        <f t="shared" si="55"/>
        <v>0</v>
      </c>
      <c r="DH115" s="53">
        <f t="shared" si="55"/>
        <v>0</v>
      </c>
      <c r="DI115" s="53">
        <f t="shared" si="55"/>
        <v>0</v>
      </c>
      <c r="DJ115" s="53">
        <f t="shared" si="55"/>
        <v>0</v>
      </c>
      <c r="DK115" s="53">
        <f t="shared" si="55"/>
        <v>0</v>
      </c>
      <c r="DL115" s="53">
        <f t="shared" si="55"/>
        <v>0</v>
      </c>
      <c r="DM115" s="53">
        <f t="shared" si="55"/>
        <v>0</v>
      </c>
      <c r="DN115" s="53">
        <f t="shared" si="55"/>
        <v>0</v>
      </c>
      <c r="DO115" s="53">
        <f t="shared" si="55"/>
        <v>0</v>
      </c>
      <c r="DP115" s="53">
        <f t="shared" si="55"/>
        <v>0</v>
      </c>
      <c r="DQ115" s="53">
        <f t="shared" si="55"/>
        <v>0</v>
      </c>
      <c r="DR115" s="53">
        <f t="shared" si="55"/>
        <v>0</v>
      </c>
      <c r="DS115" s="53">
        <f t="shared" si="55"/>
        <v>0</v>
      </c>
      <c r="DT115" s="53">
        <f t="shared" si="55"/>
        <v>0</v>
      </c>
      <c r="DU115" s="53">
        <f t="shared" si="55"/>
        <v>0</v>
      </c>
      <c r="DV115" s="54">
        <f t="shared" si="48"/>
        <v>0</v>
      </c>
      <c r="DW115" s="48"/>
    </row>
    <row r="116" spans="1:127" s="6" customFormat="1" ht="12" thickTop="1">
      <c r="A116" s="213" t="s">
        <v>71</v>
      </c>
      <c r="B116" s="24"/>
      <c r="C116" s="39">
        <f t="shared" ref="C116:R116" si="56">ROUND(IF(ISERROR(AVERAGE(C91:C114)),0,AVERAGE(C91:C114)),0)</f>
        <v>4</v>
      </c>
      <c r="D116" s="24">
        <f t="shared" si="56"/>
        <v>16</v>
      </c>
      <c r="E116" s="24">
        <f t="shared" si="56"/>
        <v>3</v>
      </c>
      <c r="F116" s="24">
        <f t="shared" si="56"/>
        <v>0</v>
      </c>
      <c r="G116" s="24">
        <f t="shared" si="56"/>
        <v>2</v>
      </c>
      <c r="H116" s="24">
        <f t="shared" si="56"/>
        <v>2</v>
      </c>
      <c r="I116" s="24">
        <f>ROUND(IF(ISERROR(AVERAGE(I91:I114)),0,AVERAGE(I91:I114)),0)</f>
        <v>0</v>
      </c>
      <c r="J116" s="24">
        <f t="shared" si="56"/>
        <v>0</v>
      </c>
      <c r="K116" s="24">
        <f t="shared" si="56"/>
        <v>0</v>
      </c>
      <c r="L116" s="24">
        <f t="shared" si="56"/>
        <v>0</v>
      </c>
      <c r="M116" s="24"/>
      <c r="N116" s="24"/>
      <c r="O116" s="24">
        <f>ROUND(IF(ISERROR(AVERAGE(O91:O114)),0,AVERAGE(O91:O114)),0)</f>
        <v>17</v>
      </c>
      <c r="P116" s="24">
        <f t="shared" si="56"/>
        <v>0</v>
      </c>
      <c r="Q116" s="24">
        <f t="shared" si="56"/>
        <v>0</v>
      </c>
      <c r="R116" s="24">
        <f t="shared" si="56"/>
        <v>0</v>
      </c>
      <c r="S116" s="31">
        <f>SUM(C116:R116)</f>
        <v>44</v>
      </c>
      <c r="T116" s="24">
        <f>ROUND(IF(ISERROR(AVERAGE(T91:T114)),0,AVERAGE(T91:T114)),0)</f>
        <v>0</v>
      </c>
      <c r="U116" s="24">
        <f>ROUND(IF(ISERROR(AVERAGE(U91:U114)),0,AVERAGE(U91:U114)),0)</f>
        <v>0</v>
      </c>
      <c r="V116" s="24">
        <f>ROUND(IF(ISERROR(AVERAGE(V91:V114)),0,AVERAGE(V91:V114)),0)</f>
        <v>0</v>
      </c>
      <c r="W116" s="24">
        <f>ROUND(IF(ISERROR(AVERAGE(W91:W114)),0,AVERAGE(W91:W114)),0)</f>
        <v>0</v>
      </c>
      <c r="X116" s="40">
        <f>ROUND(IF(ISERROR(AVERAGE(X91:X114)),0,AVERAGE(X91:X114)),0)</f>
        <v>0</v>
      </c>
      <c r="Z116" s="39">
        <f>ROUND(IF(ISERROR(AVERAGE(Z91:Z114)),0,AVERAGE(Z91:Z114)),0)</f>
        <v>0</v>
      </c>
      <c r="AA116" s="24">
        <f>ROUND(IF(ISERROR(AVERAGE(AA91:AA114)),0,AVERAGE(AA91:AA114)),0)</f>
        <v>0</v>
      </c>
      <c r="AB116" s="24"/>
      <c r="AC116" s="39">
        <f>ROUND(IF(ISERROR(AVERAGE(AC91:AC114)),0,AVERAGE(AC91:AC114)),0)</f>
        <v>0</v>
      </c>
      <c r="AD116" s="24">
        <f>ROUND(IF(ISERROR(AVERAGE(AD91:AD114)),0,AVERAGE(AD91:AD114)),0)</f>
        <v>0</v>
      </c>
      <c r="AE116" s="31">
        <f>SUM(AC116:AD116)</f>
        <v>0</v>
      </c>
      <c r="AG116" s="39">
        <f>ROUND(IF(ISERROR(AVERAGE(AG91:AG114)),0,AVERAGE(AG91:AG114)),0)</f>
        <v>77</v>
      </c>
      <c r="AH116" s="24">
        <f>ROUND(IF(ISERROR(AVERAGE(AH91:AH114)),0,AVERAGE(AH91:AH114)),0)</f>
        <v>10</v>
      </c>
      <c r="AI116" s="24">
        <f>ROUND(IF(ISERROR(AVERAGE(AI91:AI114)),0,AVERAGE(AI91:AI114)),0)</f>
        <v>131</v>
      </c>
      <c r="AJ116" s="40">
        <f>ROUND(IF(ISERROR(AVERAGE(AJ91:AJ114)),0,AVERAGE(AJ91:AJ114)),0)</f>
        <v>18</v>
      </c>
      <c r="AL116" s="39">
        <f>ROUND(IF(ISERROR(AVERAGE(AL91:AL114)),0,AVERAGE(AL91:AL114)),0)</f>
        <v>0</v>
      </c>
      <c r="AM116" s="24">
        <f>ROUND(IF(ISERROR(AVERAGE(AM91:AM114)),0,AVERAGE(AM91:AM114)),0)</f>
        <v>0</v>
      </c>
      <c r="AN116" s="31">
        <f>SUM(AL116:AM116)</f>
        <v>0</v>
      </c>
      <c r="AO116" s="24">
        <f>ROUND(IF(ISERROR(AVERAGE(AO91:AO114)),0,AVERAGE(AO91:AO114)),0)</f>
        <v>0</v>
      </c>
      <c r="AP116" s="24">
        <f>ROUND(IF(ISERROR(AVERAGE(AP91:AP114)),0,AVERAGE(AP91:AP114)),0)</f>
        <v>0</v>
      </c>
      <c r="AQ116" s="31">
        <f>SUM(AO116:AP116)</f>
        <v>0</v>
      </c>
      <c r="AR116" s="24">
        <f>ROUND(IF(ISERROR(AVERAGE(AR91:AR114)),0,AVERAGE(AR91:AR114)),0)</f>
        <v>0</v>
      </c>
      <c r="AS116" s="24">
        <f>ROUND(IF(ISERROR(AVERAGE(AS91:AS114)),0,AVERAGE(AS91:AS114)),0)</f>
        <v>0</v>
      </c>
      <c r="AT116" s="24">
        <f>ROUND(IF(ISERROR(AVERAGE(AT91:AT114)),0,AVERAGE(AT91:AT114)),0)</f>
        <v>0</v>
      </c>
      <c r="AU116" s="24">
        <f>ROUND(IF(ISERROR(AVERAGE(AU91:AU114)),0,AVERAGE(AU91:AU114)),0)</f>
        <v>0</v>
      </c>
      <c r="AV116" s="40">
        <f>ROUND(IF(ISERROR(AVERAGE(AV91:AV114)),0,AVERAGE(AV91:AV114)),0)</f>
        <v>0</v>
      </c>
      <c r="AX116" s="330"/>
      <c r="AY116" s="40"/>
      <c r="BA116" s="39">
        <f t="shared" ref="BA116:BM116" si="57">ROUND(IF(ISERROR(AVERAGE(BA91:BA114)),0,AVERAGE(BA91:BA114)),0)</f>
        <v>1558</v>
      </c>
      <c r="BB116" s="24">
        <f t="shared" si="57"/>
        <v>0</v>
      </c>
      <c r="BC116" s="24">
        <f t="shared" ref="BC116:BL116" si="58">ROUND(IF(ISERROR(AVERAGE(BC91:BC114)),0,AVERAGE(BC91:BC114)),0)</f>
        <v>19111936</v>
      </c>
      <c r="BD116" s="24">
        <f t="shared" si="58"/>
        <v>0</v>
      </c>
      <c r="BE116" s="24">
        <f t="shared" si="58"/>
        <v>0</v>
      </c>
      <c r="BF116" s="24">
        <f t="shared" si="58"/>
        <v>0</v>
      </c>
      <c r="BG116" s="24">
        <f t="shared" si="58"/>
        <v>0</v>
      </c>
      <c r="BH116" s="31"/>
      <c r="BI116" s="24">
        <f t="shared" si="58"/>
        <v>0</v>
      </c>
      <c r="BJ116" s="340"/>
      <c r="BK116" s="340"/>
      <c r="BL116" s="24">
        <f t="shared" si="58"/>
        <v>0</v>
      </c>
      <c r="BM116" s="40">
        <f t="shared" si="57"/>
        <v>3490</v>
      </c>
      <c r="BO116" s="39">
        <f>ROUND(IF(ISERROR(AVERAGE(BO91:BO114)),0,AVERAGE(BO91:BO114)),0)</f>
        <v>0</v>
      </c>
      <c r="BP116" s="40">
        <f>ROUND(IF(ISERROR(AVERAGE(BP91:BP114)),0,AVERAGE(BP91:BP114)),0)</f>
        <v>0</v>
      </c>
      <c r="BR116" s="65" t="s">
        <v>72</v>
      </c>
      <c r="BS116" s="19"/>
      <c r="BT116" s="14"/>
      <c r="BV116" s="39">
        <f>ROUND(IF(ISERROR(AVERAGE(BV91:BV114)),0,AVERAGE(BV91:BV114)),0)</f>
        <v>0</v>
      </c>
      <c r="BW116" s="24">
        <f>ROUND(IF(ISERROR(AVERAGE(BW91:BW114)),0,AVERAGE(BW91:BW114)),0)</f>
        <v>0</v>
      </c>
      <c r="BX116" s="24">
        <f t="shared" ref="BX116:DU116" si="59">ROUND(IF(ISERROR(AVERAGE(BX91:BX114)),0,AVERAGE(BX91:BX114)),0)</f>
        <v>0</v>
      </c>
      <c r="BY116" s="24">
        <f t="shared" si="59"/>
        <v>0</v>
      </c>
      <c r="BZ116" s="24">
        <f t="shared" si="59"/>
        <v>0</v>
      </c>
      <c r="CA116" s="24">
        <f t="shared" si="59"/>
        <v>0</v>
      </c>
      <c r="CB116" s="24">
        <f t="shared" si="59"/>
        <v>0</v>
      </c>
      <c r="CC116" s="24">
        <f t="shared" si="59"/>
        <v>0</v>
      </c>
      <c r="CD116" s="24">
        <f t="shared" si="59"/>
        <v>0</v>
      </c>
      <c r="CE116" s="24">
        <f t="shared" si="59"/>
        <v>0</v>
      </c>
      <c r="CF116" s="24">
        <f t="shared" si="59"/>
        <v>0</v>
      </c>
      <c r="CG116" s="24">
        <f t="shared" si="59"/>
        <v>0</v>
      </c>
      <c r="CH116" s="24">
        <f t="shared" si="59"/>
        <v>0</v>
      </c>
      <c r="CI116" s="24">
        <f t="shared" si="59"/>
        <v>0</v>
      </c>
      <c r="CJ116" s="24">
        <f t="shared" si="59"/>
        <v>0</v>
      </c>
      <c r="CK116" s="24">
        <f t="shared" si="59"/>
        <v>0</v>
      </c>
      <c r="CL116" s="24">
        <f t="shared" si="59"/>
        <v>0</v>
      </c>
      <c r="CM116" s="24">
        <f t="shared" si="59"/>
        <v>0</v>
      </c>
      <c r="CN116" s="24">
        <f t="shared" si="59"/>
        <v>0</v>
      </c>
      <c r="CO116" s="24">
        <f t="shared" si="59"/>
        <v>0</v>
      </c>
      <c r="CP116" s="24">
        <f t="shared" si="59"/>
        <v>0</v>
      </c>
      <c r="CQ116" s="24">
        <f t="shared" si="59"/>
        <v>0</v>
      </c>
      <c r="CR116" s="24">
        <f t="shared" si="59"/>
        <v>0</v>
      </c>
      <c r="CS116" s="24">
        <f t="shared" si="59"/>
        <v>0</v>
      </c>
      <c r="CT116" s="24">
        <f t="shared" si="59"/>
        <v>0</v>
      </c>
      <c r="CU116" s="24">
        <f t="shared" si="59"/>
        <v>0</v>
      </c>
      <c r="CV116" s="24">
        <f t="shared" si="59"/>
        <v>0</v>
      </c>
      <c r="CW116" s="24">
        <f t="shared" si="59"/>
        <v>0</v>
      </c>
      <c r="CX116" s="24">
        <f t="shared" si="59"/>
        <v>0</v>
      </c>
      <c r="CY116" s="24">
        <f t="shared" si="59"/>
        <v>0</v>
      </c>
      <c r="CZ116" s="24">
        <f t="shared" si="59"/>
        <v>0</v>
      </c>
      <c r="DA116" s="24">
        <f t="shared" si="59"/>
        <v>0</v>
      </c>
      <c r="DB116" s="24">
        <f t="shared" si="59"/>
        <v>0</v>
      </c>
      <c r="DC116" s="24">
        <f t="shared" si="59"/>
        <v>0</v>
      </c>
      <c r="DD116" s="24">
        <f t="shared" si="59"/>
        <v>0</v>
      </c>
      <c r="DE116" s="24">
        <f t="shared" si="59"/>
        <v>0</v>
      </c>
      <c r="DF116" s="24">
        <f t="shared" si="59"/>
        <v>0</v>
      </c>
      <c r="DG116" s="24">
        <f t="shared" si="59"/>
        <v>0</v>
      </c>
      <c r="DH116" s="24">
        <f t="shared" si="59"/>
        <v>0</v>
      </c>
      <c r="DI116" s="24">
        <f t="shared" si="59"/>
        <v>0</v>
      </c>
      <c r="DJ116" s="24">
        <f t="shared" si="59"/>
        <v>0</v>
      </c>
      <c r="DK116" s="24">
        <f t="shared" si="59"/>
        <v>0</v>
      </c>
      <c r="DL116" s="24">
        <f t="shared" si="59"/>
        <v>0</v>
      </c>
      <c r="DM116" s="24">
        <f t="shared" si="59"/>
        <v>0</v>
      </c>
      <c r="DN116" s="24">
        <f t="shared" si="59"/>
        <v>0</v>
      </c>
      <c r="DO116" s="24">
        <f t="shared" si="59"/>
        <v>0</v>
      </c>
      <c r="DP116" s="24">
        <f t="shared" si="59"/>
        <v>0</v>
      </c>
      <c r="DQ116" s="24">
        <f t="shared" si="59"/>
        <v>0</v>
      </c>
      <c r="DR116" s="24">
        <f t="shared" si="59"/>
        <v>0</v>
      </c>
      <c r="DS116" s="24">
        <f t="shared" si="59"/>
        <v>0</v>
      </c>
      <c r="DT116" s="24">
        <f t="shared" si="59"/>
        <v>0</v>
      </c>
      <c r="DU116" s="24">
        <f t="shared" si="59"/>
        <v>0</v>
      </c>
      <c r="DV116" s="18"/>
      <c r="DW116" s="48"/>
    </row>
    <row r="117" spans="1:127" customFormat="1">
      <c r="A117" s="210" t="s">
        <v>73</v>
      </c>
      <c r="B117" s="211"/>
      <c r="C117" s="8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30">
        <f>MEDIAN(S91:S114)</f>
        <v>44.5</v>
      </c>
      <c r="T117" s="10"/>
      <c r="U117" s="10"/>
      <c r="V117" s="10"/>
      <c r="W117" s="10"/>
      <c r="X117" s="5"/>
      <c r="Y117" s="10"/>
      <c r="Z117" s="8"/>
      <c r="AA117" s="10" t="str">
        <f>IF(ISERROR(MEDIAN(AA91:AA114)),"",MEDIAN(AA91:AA114))</f>
        <v/>
      </c>
      <c r="AB117" s="10"/>
      <c r="AC117" s="8"/>
      <c r="AD117" s="10"/>
      <c r="AE117" s="30"/>
      <c r="AF117" s="10"/>
      <c r="AG117" s="8"/>
      <c r="AH117" s="10"/>
      <c r="AI117" s="10">
        <f>IF(ISERROR(MEDIAN(AI91:AI114)),"",MEDIAN(AI91:AI114))</f>
        <v>134</v>
      </c>
      <c r="AJ117" s="5">
        <f>IF(ISERROR(MEDIAN(AJ91:AJ114)),"",MEDIAN(AJ91:AJ114))</f>
        <v>18</v>
      </c>
      <c r="AK117" s="10"/>
      <c r="AL117" s="8"/>
      <c r="AM117" s="10"/>
      <c r="AN117" s="30"/>
      <c r="AO117" s="10"/>
      <c r="AP117" s="10"/>
      <c r="AQ117" s="30"/>
      <c r="AR117" s="10"/>
      <c r="AS117" s="10"/>
      <c r="AT117" s="10"/>
      <c r="AU117" s="10"/>
      <c r="AV117" s="5"/>
      <c r="AW117" s="10"/>
      <c r="AX117" s="326"/>
      <c r="AY117" s="5"/>
      <c r="AZ117" s="10"/>
      <c r="BA117" s="8">
        <f>IF(ISERROR(MEDIAN(BA91:BA114)),"",MEDIAN(BA91:BA114))</f>
        <v>1559</v>
      </c>
      <c r="BB117" s="10"/>
      <c r="BC117" s="10"/>
      <c r="BD117" s="10"/>
      <c r="BE117" s="10"/>
      <c r="BF117" s="10"/>
      <c r="BG117" s="10"/>
      <c r="BH117" s="30"/>
      <c r="BI117" s="10"/>
      <c r="BJ117" s="338"/>
      <c r="BK117" s="338"/>
      <c r="BL117" s="303"/>
      <c r="BM117" s="5"/>
      <c r="BN117" s="10"/>
      <c r="BO117" s="8"/>
      <c r="BP117" s="5"/>
      <c r="BQ117" s="10"/>
      <c r="BR117" s="65"/>
      <c r="BS117" s="19"/>
      <c r="BT117" s="14"/>
      <c r="BU117" s="10"/>
      <c r="BV117" s="8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5"/>
      <c r="DW117" s="21"/>
    </row>
    <row r="118" spans="1:127" customFormat="1" ht="12" thickBot="1">
      <c r="A118" s="214" t="s">
        <v>74</v>
      </c>
      <c r="B118" s="195"/>
      <c r="C118" s="4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32">
        <f>MODE(S91:S114)</f>
        <v>45</v>
      </c>
      <c r="T118" s="22"/>
      <c r="U118" s="22"/>
      <c r="V118" s="22"/>
      <c r="W118" s="22"/>
      <c r="X118" s="42"/>
      <c r="Y118" s="22"/>
      <c r="Z118" s="41"/>
      <c r="AA118" s="22"/>
      <c r="AB118" s="22"/>
      <c r="AC118" s="41"/>
      <c r="AD118" s="22"/>
      <c r="AE118" s="32"/>
      <c r="AF118" s="22"/>
      <c r="AG118" s="41"/>
      <c r="AH118" s="22"/>
      <c r="AI118" s="22">
        <f>IF(ISERROR(MODE(AI91:AI114)),"",MODE(AI91:AI114))</f>
        <v>134</v>
      </c>
      <c r="AJ118" s="42">
        <f>IF(ISERROR(MODE(AJ91:AJ114)),"",MODE(AJ91:AJ114))</f>
        <v>20</v>
      </c>
      <c r="AK118" s="22"/>
      <c r="AL118" s="41"/>
      <c r="AM118" s="22"/>
      <c r="AN118" s="32"/>
      <c r="AO118" s="22"/>
      <c r="AP118" s="22"/>
      <c r="AQ118" s="32"/>
      <c r="AR118" s="22"/>
      <c r="AS118" s="22"/>
      <c r="AT118" s="22"/>
      <c r="AU118" s="22"/>
      <c r="AV118" s="42"/>
      <c r="AW118" s="22"/>
      <c r="AX118" s="331"/>
      <c r="AY118" s="42"/>
      <c r="AZ118" s="22"/>
      <c r="BA118" s="41"/>
      <c r="BB118" s="22"/>
      <c r="BC118" s="22"/>
      <c r="BD118" s="22"/>
      <c r="BE118" s="22"/>
      <c r="BF118" s="22"/>
      <c r="BG118" s="22"/>
      <c r="BH118" s="32"/>
      <c r="BI118" s="22"/>
      <c r="BJ118" s="341"/>
      <c r="BK118" s="341"/>
      <c r="BL118" s="306"/>
      <c r="BM118" s="42"/>
      <c r="BN118" s="22"/>
      <c r="BO118" s="41"/>
      <c r="BP118" s="42"/>
      <c r="BQ118" s="22"/>
      <c r="BR118" s="66"/>
      <c r="BS118" s="51"/>
      <c r="BT118" s="67"/>
      <c r="BU118" s="22"/>
      <c r="BV118" s="41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42"/>
      <c r="DW118" s="23"/>
    </row>
    <row r="119" spans="1:127" customFormat="1" ht="12" thickBot="1">
      <c r="A119" s="194"/>
      <c r="B119" s="194"/>
      <c r="C119" s="8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30"/>
      <c r="T119" s="10"/>
      <c r="U119" s="10"/>
      <c r="V119" s="10"/>
      <c r="W119" s="10"/>
      <c r="X119" s="5"/>
      <c r="Z119" s="8"/>
      <c r="AA119" s="10"/>
      <c r="AB119" s="10"/>
      <c r="AC119" s="8"/>
      <c r="AD119" s="10"/>
      <c r="AE119" s="30"/>
      <c r="AG119" s="8"/>
      <c r="AH119" s="10"/>
      <c r="AI119" s="10"/>
      <c r="AJ119" s="5"/>
      <c r="AL119" s="8"/>
      <c r="AM119" s="10"/>
      <c r="AN119" s="30"/>
      <c r="AO119" s="10"/>
      <c r="AP119" s="10"/>
      <c r="AQ119" s="30"/>
      <c r="AR119" s="10"/>
      <c r="AS119" s="10"/>
      <c r="AT119" s="10"/>
      <c r="AU119" s="10"/>
      <c r="AV119" s="5"/>
      <c r="AX119" s="326"/>
      <c r="AY119" s="5"/>
      <c r="AZ119" s="324"/>
      <c r="BA119" s="8"/>
      <c r="BB119" s="10"/>
      <c r="BC119" s="10"/>
      <c r="BD119" s="10"/>
      <c r="BE119" s="10"/>
      <c r="BF119" s="10"/>
      <c r="BG119" s="10"/>
      <c r="BH119" s="30"/>
      <c r="BI119" s="10"/>
      <c r="BJ119" s="338"/>
      <c r="BK119" s="338"/>
      <c r="BL119" s="303"/>
      <c r="BM119" s="5"/>
      <c r="BO119" s="8"/>
      <c r="BP119" s="5"/>
      <c r="BR119" s="65"/>
      <c r="BS119" s="19"/>
      <c r="BT119" s="14"/>
      <c r="BV119" s="8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5"/>
    </row>
    <row r="120" spans="1:127" customFormat="1">
      <c r="A120" s="208">
        <v>33420</v>
      </c>
      <c r="B120" s="209"/>
      <c r="C120" s="36">
        <v>9</v>
      </c>
      <c r="D120" s="9">
        <v>10</v>
      </c>
      <c r="E120" s="9">
        <v>18</v>
      </c>
      <c r="F120" s="9">
        <v>0</v>
      </c>
      <c r="G120" s="9">
        <v>3</v>
      </c>
      <c r="H120" s="9">
        <v>3</v>
      </c>
      <c r="I120" s="9">
        <v>0</v>
      </c>
      <c r="J120" s="9">
        <v>0</v>
      </c>
      <c r="K120" s="9">
        <v>0</v>
      </c>
      <c r="L120" s="9">
        <v>0</v>
      </c>
      <c r="M120" s="9"/>
      <c r="N120" s="9"/>
      <c r="O120" s="9">
        <v>35</v>
      </c>
      <c r="P120" s="9">
        <v>0</v>
      </c>
      <c r="Q120" s="9">
        <v>0</v>
      </c>
      <c r="R120" s="9">
        <v>0</v>
      </c>
      <c r="S120" s="33">
        <f t="shared" ref="S120:S143" si="60">SUM(C120:R120)</f>
        <v>78</v>
      </c>
      <c r="T120" s="9"/>
      <c r="U120" s="9"/>
      <c r="V120" s="9"/>
      <c r="W120" s="9"/>
      <c r="X120" s="37"/>
      <c r="Y120" s="9"/>
      <c r="Z120" s="36"/>
      <c r="AA120" s="9"/>
      <c r="AB120" s="9"/>
      <c r="AC120" s="36"/>
      <c r="AD120" s="9"/>
      <c r="AE120" s="33"/>
      <c r="AF120" s="9"/>
      <c r="AG120" s="36">
        <v>81</v>
      </c>
      <c r="AH120" s="9">
        <v>10</v>
      </c>
      <c r="AI120" s="9">
        <v>148</v>
      </c>
      <c r="AJ120" s="37">
        <v>24</v>
      </c>
      <c r="AK120" s="9"/>
      <c r="AL120" s="36"/>
      <c r="AM120" s="9"/>
      <c r="AN120" s="33"/>
      <c r="AO120" s="9"/>
      <c r="AP120" s="9"/>
      <c r="AQ120" s="33"/>
      <c r="AR120" s="92"/>
      <c r="AS120" s="92"/>
      <c r="AT120" s="92"/>
      <c r="AU120" s="92"/>
      <c r="AV120" s="93"/>
      <c r="AW120" s="9"/>
      <c r="AX120" s="325"/>
      <c r="AY120" s="37"/>
      <c r="AZ120" s="9"/>
      <c r="BA120" s="36">
        <v>1567</v>
      </c>
      <c r="BB120" s="9"/>
      <c r="BC120" s="9">
        <v>18620416</v>
      </c>
      <c r="BD120" s="9"/>
      <c r="BE120" s="9"/>
      <c r="BF120" s="9"/>
      <c r="BG120" s="9"/>
      <c r="BH120" s="350"/>
      <c r="BI120" s="9"/>
      <c r="BJ120" s="337"/>
      <c r="BK120" s="337"/>
      <c r="BL120" s="302"/>
      <c r="BM120" s="37"/>
      <c r="BN120" s="9"/>
      <c r="BO120" s="36"/>
      <c r="BP120" s="37"/>
      <c r="BQ120" s="9"/>
      <c r="BR120" s="74">
        <v>1992</v>
      </c>
      <c r="BS120" s="75">
        <v>1991</v>
      </c>
      <c r="BT120" s="13">
        <v>13</v>
      </c>
      <c r="BU120" s="9"/>
      <c r="BV120" s="36"/>
      <c r="BW120" s="9"/>
      <c r="BX120" s="9"/>
      <c r="BY120" s="9"/>
      <c r="BZ120" s="9"/>
      <c r="CA120" s="9"/>
      <c r="CB120" s="9"/>
      <c r="CC120" s="223"/>
      <c r="CD120" s="9"/>
      <c r="CE120" s="220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220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44">
        <f t="shared" ref="DV120:DV144" si="61">SUM(BV120:DU120)</f>
        <v>0</v>
      </c>
      <c r="DW120" s="13" t="str">
        <f t="shared" ref="DW120:DW143" si="62">IF(DV120=S120,"","PROB")</f>
        <v>PROB</v>
      </c>
    </row>
    <row r="121" spans="1:127" customFormat="1">
      <c r="A121" s="210">
        <v>33434</v>
      </c>
      <c r="B121" s="211"/>
      <c r="C121" s="8">
        <v>3</v>
      </c>
      <c r="D121" s="10">
        <v>8</v>
      </c>
      <c r="E121" s="10">
        <v>0</v>
      </c>
      <c r="F121" s="10">
        <v>0</v>
      </c>
      <c r="G121" s="10">
        <v>6</v>
      </c>
      <c r="H121" s="10">
        <v>0</v>
      </c>
      <c r="I121" s="10">
        <v>0</v>
      </c>
      <c r="J121" s="10">
        <v>0</v>
      </c>
      <c r="K121" s="59">
        <v>0</v>
      </c>
      <c r="L121" s="59">
        <v>0</v>
      </c>
      <c r="M121" s="59"/>
      <c r="N121" s="59"/>
      <c r="O121" s="10">
        <v>11</v>
      </c>
      <c r="P121" s="59">
        <v>0</v>
      </c>
      <c r="Q121" s="59">
        <v>0</v>
      </c>
      <c r="R121" s="10">
        <v>0</v>
      </c>
      <c r="S121" s="35">
        <f t="shared" si="60"/>
        <v>28</v>
      </c>
      <c r="T121" s="10"/>
      <c r="U121" s="10"/>
      <c r="V121" s="10"/>
      <c r="W121" s="10"/>
      <c r="X121" s="5"/>
      <c r="Y121" s="10"/>
      <c r="Z121" s="8"/>
      <c r="AA121" s="10">
        <v>743509</v>
      </c>
      <c r="AB121" s="10"/>
      <c r="AC121" s="8"/>
      <c r="AD121" s="10"/>
      <c r="AE121" s="35"/>
      <c r="AF121" s="10"/>
      <c r="AG121" s="8">
        <v>39</v>
      </c>
      <c r="AH121" s="10">
        <v>11</v>
      </c>
      <c r="AI121" s="10">
        <v>120</v>
      </c>
      <c r="AJ121" s="5">
        <v>16</v>
      </c>
      <c r="AK121" s="10"/>
      <c r="AL121" s="8"/>
      <c r="AM121" s="10"/>
      <c r="AN121" s="35"/>
      <c r="AO121" s="10"/>
      <c r="AP121" s="10"/>
      <c r="AQ121" s="35"/>
      <c r="AR121" s="59"/>
      <c r="AS121" s="59"/>
      <c r="AT121" s="59"/>
      <c r="AU121" s="59"/>
      <c r="AV121" s="62"/>
      <c r="AW121" s="10"/>
      <c r="AX121" s="326"/>
      <c r="AY121" s="5"/>
      <c r="AZ121" s="10"/>
      <c r="BA121" s="8"/>
      <c r="BB121" s="10"/>
      <c r="BC121" s="10"/>
      <c r="BD121" s="10"/>
      <c r="BE121" s="10"/>
      <c r="BF121" s="10"/>
      <c r="BG121" s="10"/>
      <c r="BH121" s="30"/>
      <c r="BI121" s="10"/>
      <c r="BJ121" s="338"/>
      <c r="BK121" s="338"/>
      <c r="BL121" s="303"/>
      <c r="BM121" s="5"/>
      <c r="BN121" s="10"/>
      <c r="BO121" s="8"/>
      <c r="BP121" s="5"/>
      <c r="BQ121" s="10"/>
      <c r="BR121" s="29">
        <v>1992</v>
      </c>
      <c r="BS121" s="64">
        <v>1991</v>
      </c>
      <c r="BT121" s="14">
        <v>14</v>
      </c>
      <c r="BU121" s="10"/>
      <c r="BV121" s="8"/>
      <c r="BW121" s="10"/>
      <c r="BX121" s="10"/>
      <c r="BY121" s="10"/>
      <c r="BZ121" s="10"/>
      <c r="CA121" s="10"/>
      <c r="CB121" s="10"/>
      <c r="CC121" s="221"/>
      <c r="CD121" s="10"/>
      <c r="CE121" s="317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317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38">
        <f t="shared" si="61"/>
        <v>0</v>
      </c>
      <c r="DW121" s="14" t="str">
        <f t="shared" si="62"/>
        <v>PROB</v>
      </c>
    </row>
    <row r="122" spans="1:127" customFormat="1">
      <c r="A122" s="210">
        <v>33451</v>
      </c>
      <c r="B122" s="211"/>
      <c r="C122" s="8">
        <v>4</v>
      </c>
      <c r="D122" s="10">
        <v>14</v>
      </c>
      <c r="E122" s="10">
        <v>0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59">
        <v>0</v>
      </c>
      <c r="L122" s="59">
        <v>0</v>
      </c>
      <c r="M122" s="59"/>
      <c r="N122" s="59"/>
      <c r="O122" s="10">
        <v>10</v>
      </c>
      <c r="P122" s="59">
        <v>0</v>
      </c>
      <c r="Q122" s="59">
        <v>0</v>
      </c>
      <c r="R122" s="10">
        <v>0</v>
      </c>
      <c r="S122" s="35">
        <f t="shared" si="60"/>
        <v>29</v>
      </c>
      <c r="T122" s="10"/>
      <c r="U122" s="10"/>
      <c r="V122" s="10"/>
      <c r="W122" s="10"/>
      <c r="X122" s="5"/>
      <c r="Y122" s="10"/>
      <c r="Z122" s="8"/>
      <c r="AA122" s="10">
        <v>470808</v>
      </c>
      <c r="AB122" s="10"/>
      <c r="AC122" s="8"/>
      <c r="AD122" s="10"/>
      <c r="AE122" s="35"/>
      <c r="AF122" s="10"/>
      <c r="AG122" s="8">
        <v>56</v>
      </c>
      <c r="AH122" s="10">
        <v>11</v>
      </c>
      <c r="AI122" s="10">
        <v>102</v>
      </c>
      <c r="AJ122" s="5">
        <v>16</v>
      </c>
      <c r="AK122" s="10"/>
      <c r="AL122" s="8"/>
      <c r="AM122" s="10"/>
      <c r="AN122" s="35"/>
      <c r="AO122" s="10"/>
      <c r="AP122" s="10"/>
      <c r="AQ122" s="35"/>
      <c r="AR122" s="59"/>
      <c r="AS122" s="59"/>
      <c r="AT122" s="59"/>
      <c r="AU122" s="59"/>
      <c r="AV122" s="62"/>
      <c r="AW122" s="10"/>
      <c r="AX122" s="326"/>
      <c r="AY122" s="5"/>
      <c r="AZ122" s="10"/>
      <c r="BA122" s="8"/>
      <c r="BB122" s="10"/>
      <c r="BC122" s="10"/>
      <c r="BD122" s="10"/>
      <c r="BE122" s="10"/>
      <c r="BF122" s="10"/>
      <c r="BG122" s="10"/>
      <c r="BH122" s="30"/>
      <c r="BI122" s="10"/>
      <c r="BJ122" s="338"/>
      <c r="BK122" s="338"/>
      <c r="BL122" s="303"/>
      <c r="BM122" s="5"/>
      <c r="BN122" s="10"/>
      <c r="BO122" s="8"/>
      <c r="BP122" s="5"/>
      <c r="BQ122" s="10"/>
      <c r="BR122" s="29">
        <v>1992</v>
      </c>
      <c r="BS122" s="64">
        <v>1991</v>
      </c>
      <c r="BT122" s="14">
        <v>15</v>
      </c>
      <c r="BU122" s="10"/>
      <c r="BV122" s="8"/>
      <c r="BW122" s="10"/>
      <c r="BX122" s="10"/>
      <c r="BY122" s="10"/>
      <c r="BZ122" s="10"/>
      <c r="CA122" s="10"/>
      <c r="CB122" s="10"/>
      <c r="CC122" s="221"/>
      <c r="CD122" s="10"/>
      <c r="CE122" s="317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317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38">
        <f t="shared" si="61"/>
        <v>0</v>
      </c>
      <c r="DW122" s="14" t="str">
        <f t="shared" si="62"/>
        <v>PROB</v>
      </c>
    </row>
    <row r="123" spans="1:127" customFormat="1">
      <c r="A123" s="210">
        <v>33465</v>
      </c>
      <c r="B123" s="211"/>
      <c r="C123" s="8">
        <v>4</v>
      </c>
      <c r="D123" s="10">
        <v>20</v>
      </c>
      <c r="E123" s="10">
        <v>0</v>
      </c>
      <c r="F123" s="10">
        <v>6</v>
      </c>
      <c r="G123" s="10">
        <v>1</v>
      </c>
      <c r="H123" s="10">
        <v>1</v>
      </c>
      <c r="I123" s="10">
        <v>0</v>
      </c>
      <c r="J123" s="10">
        <v>0</v>
      </c>
      <c r="K123" s="59">
        <v>0</v>
      </c>
      <c r="L123" s="59">
        <v>0</v>
      </c>
      <c r="M123" s="59"/>
      <c r="N123" s="59"/>
      <c r="O123" s="10">
        <v>4</v>
      </c>
      <c r="P123" s="59">
        <v>0</v>
      </c>
      <c r="Q123" s="59">
        <v>0</v>
      </c>
      <c r="R123" s="10">
        <v>0</v>
      </c>
      <c r="S123" s="35">
        <f t="shared" si="60"/>
        <v>36</v>
      </c>
      <c r="T123" s="10"/>
      <c r="U123" s="10"/>
      <c r="V123" s="10"/>
      <c r="W123" s="10"/>
      <c r="X123" s="5"/>
      <c r="Y123" s="10"/>
      <c r="Z123" s="8"/>
      <c r="AA123" s="10">
        <v>1522463</v>
      </c>
      <c r="AB123" s="10"/>
      <c r="AC123" s="8"/>
      <c r="AD123" s="10"/>
      <c r="AE123" s="35"/>
      <c r="AF123" s="10"/>
      <c r="AG123" s="8">
        <v>114</v>
      </c>
      <c r="AH123" s="59">
        <v>8</v>
      </c>
      <c r="AI123" s="10">
        <v>154</v>
      </c>
      <c r="AJ123" s="5">
        <v>20</v>
      </c>
      <c r="AK123" s="10"/>
      <c r="AL123" s="8"/>
      <c r="AM123" s="10"/>
      <c r="AN123" s="35"/>
      <c r="AO123" s="10"/>
      <c r="AP123" s="10"/>
      <c r="AQ123" s="35"/>
      <c r="AR123" s="59"/>
      <c r="AS123" s="59"/>
      <c r="AT123" s="59"/>
      <c r="AU123" s="59"/>
      <c r="AV123" s="62"/>
      <c r="AW123" s="10"/>
      <c r="AX123" s="326"/>
      <c r="AY123" s="5"/>
      <c r="AZ123" s="10"/>
      <c r="BA123" s="8"/>
      <c r="BB123" s="10"/>
      <c r="BC123" s="10"/>
      <c r="BD123" s="10"/>
      <c r="BE123" s="10"/>
      <c r="BF123" s="10"/>
      <c r="BG123" s="10"/>
      <c r="BH123" s="30"/>
      <c r="BI123" s="10"/>
      <c r="BJ123" s="338"/>
      <c r="BK123" s="338"/>
      <c r="BL123" s="303"/>
      <c r="BM123" s="5"/>
      <c r="BN123" s="10"/>
      <c r="BO123" s="8"/>
      <c r="BP123" s="5"/>
      <c r="BQ123" s="10"/>
      <c r="BR123" s="29">
        <v>1992</v>
      </c>
      <c r="BS123" s="64">
        <v>1991</v>
      </c>
      <c r="BT123" s="14">
        <v>16</v>
      </c>
      <c r="BU123" s="10"/>
      <c r="BV123" s="8"/>
      <c r="BW123" s="10"/>
      <c r="BX123" s="10"/>
      <c r="BY123" s="10"/>
      <c r="BZ123" s="10"/>
      <c r="CA123" s="10"/>
      <c r="CB123" s="10"/>
      <c r="CC123" s="221"/>
      <c r="CD123" s="10"/>
      <c r="CE123" s="317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317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38">
        <f t="shared" si="61"/>
        <v>0</v>
      </c>
      <c r="DW123" s="14" t="str">
        <f t="shared" si="62"/>
        <v>PROB</v>
      </c>
    </row>
    <row r="124" spans="1:127" customFormat="1">
      <c r="A124" s="210">
        <v>33482</v>
      </c>
      <c r="B124" s="211"/>
      <c r="C124" s="8">
        <v>8</v>
      </c>
      <c r="D124" s="10">
        <v>22</v>
      </c>
      <c r="E124" s="10">
        <v>0</v>
      </c>
      <c r="F124" s="10">
        <v>0</v>
      </c>
      <c r="G124" s="10">
        <v>7</v>
      </c>
      <c r="H124" s="10">
        <v>0</v>
      </c>
      <c r="I124" s="10">
        <v>0</v>
      </c>
      <c r="J124" s="10">
        <v>0</v>
      </c>
      <c r="K124" s="59">
        <v>0</v>
      </c>
      <c r="L124" s="59">
        <v>0</v>
      </c>
      <c r="M124" s="59"/>
      <c r="N124" s="59"/>
      <c r="O124" s="10">
        <v>1</v>
      </c>
      <c r="P124" s="59">
        <v>0</v>
      </c>
      <c r="Q124" s="59">
        <v>0</v>
      </c>
      <c r="R124" s="10">
        <v>0</v>
      </c>
      <c r="S124" s="35">
        <f t="shared" si="60"/>
        <v>38</v>
      </c>
      <c r="T124" s="10"/>
      <c r="U124" s="10"/>
      <c r="V124" s="10"/>
      <c r="W124" s="10"/>
      <c r="X124" s="5"/>
      <c r="Y124" s="10"/>
      <c r="Z124" s="8"/>
      <c r="AA124" s="10">
        <v>1200090</v>
      </c>
      <c r="AB124" s="10"/>
      <c r="AC124" s="8"/>
      <c r="AD124" s="10"/>
      <c r="AE124" s="35"/>
      <c r="AF124" s="10"/>
      <c r="AG124" s="8">
        <v>98</v>
      </c>
      <c r="AH124" s="59">
        <v>8</v>
      </c>
      <c r="AI124" s="10">
        <v>156</v>
      </c>
      <c r="AJ124" s="5">
        <v>20</v>
      </c>
      <c r="AK124" s="10"/>
      <c r="AL124" s="8"/>
      <c r="AM124" s="10"/>
      <c r="AN124" s="35"/>
      <c r="AO124" s="10"/>
      <c r="AP124" s="10"/>
      <c r="AQ124" s="35"/>
      <c r="AR124" s="59"/>
      <c r="AS124" s="59"/>
      <c r="AT124" s="59"/>
      <c r="AU124" s="59"/>
      <c r="AV124" s="62"/>
      <c r="AW124" s="10"/>
      <c r="AX124" s="326"/>
      <c r="AY124" s="5"/>
      <c r="AZ124" s="10"/>
      <c r="BA124" s="8">
        <v>1554</v>
      </c>
      <c r="BB124" s="10"/>
      <c r="BC124" s="10">
        <v>17971200</v>
      </c>
      <c r="BD124" s="10"/>
      <c r="BE124" s="10"/>
      <c r="BF124" s="10"/>
      <c r="BG124" s="10"/>
      <c r="BH124" s="30"/>
      <c r="BI124" s="10"/>
      <c r="BJ124" s="338"/>
      <c r="BK124" s="338"/>
      <c r="BL124" s="303"/>
      <c r="BM124" s="5"/>
      <c r="BN124" s="10"/>
      <c r="BO124" s="8"/>
      <c r="BP124" s="5"/>
      <c r="BQ124" s="10"/>
      <c r="BR124" s="29">
        <v>1992</v>
      </c>
      <c r="BS124" s="64">
        <v>1991</v>
      </c>
      <c r="BT124" s="14">
        <v>17</v>
      </c>
      <c r="BU124" s="10"/>
      <c r="BV124" s="8"/>
      <c r="BW124" s="10"/>
      <c r="BX124" s="10"/>
      <c r="BY124" s="10"/>
      <c r="BZ124" s="10"/>
      <c r="CA124" s="10"/>
      <c r="CB124" s="10"/>
      <c r="CC124" s="221"/>
      <c r="CD124" s="10"/>
      <c r="CE124" s="317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317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38">
        <f t="shared" si="61"/>
        <v>0</v>
      </c>
      <c r="DW124" s="14" t="str">
        <f t="shared" si="62"/>
        <v>PROB</v>
      </c>
    </row>
    <row r="125" spans="1:127" customFormat="1">
      <c r="A125" s="210">
        <v>33496</v>
      </c>
      <c r="B125" s="211"/>
      <c r="C125" s="8">
        <v>0</v>
      </c>
      <c r="D125" s="10">
        <v>11</v>
      </c>
      <c r="E125" s="10">
        <v>0</v>
      </c>
      <c r="F125" s="10">
        <v>0</v>
      </c>
      <c r="G125" s="10">
        <v>2</v>
      </c>
      <c r="H125" s="10">
        <v>7</v>
      </c>
      <c r="I125" s="10">
        <v>0</v>
      </c>
      <c r="J125" s="10">
        <v>0</v>
      </c>
      <c r="K125" s="59">
        <v>0</v>
      </c>
      <c r="L125" s="59">
        <v>0</v>
      </c>
      <c r="M125" s="59"/>
      <c r="N125" s="59"/>
      <c r="O125" s="10">
        <v>12</v>
      </c>
      <c r="P125" s="59">
        <v>0</v>
      </c>
      <c r="Q125" s="59">
        <v>0</v>
      </c>
      <c r="R125" s="10">
        <v>0</v>
      </c>
      <c r="S125" s="35">
        <f t="shared" si="60"/>
        <v>32</v>
      </c>
      <c r="T125" s="10"/>
      <c r="U125" s="10"/>
      <c r="V125" s="10"/>
      <c r="W125" s="10"/>
      <c r="X125" s="5"/>
      <c r="Y125" s="10"/>
      <c r="Z125" s="8"/>
      <c r="AA125" s="10">
        <v>348854</v>
      </c>
      <c r="AB125" s="10"/>
      <c r="AC125" s="8"/>
      <c r="AD125" s="10"/>
      <c r="AE125" s="35"/>
      <c r="AF125" s="10"/>
      <c r="AG125" s="8">
        <v>47</v>
      </c>
      <c r="AH125" s="59">
        <v>9</v>
      </c>
      <c r="AI125" s="10">
        <v>104</v>
      </c>
      <c r="AJ125" s="5">
        <v>16</v>
      </c>
      <c r="AK125" s="10"/>
      <c r="AL125" s="8"/>
      <c r="AM125" s="10"/>
      <c r="AN125" s="35"/>
      <c r="AO125" s="10"/>
      <c r="AP125" s="10"/>
      <c r="AQ125" s="35"/>
      <c r="AR125" s="59"/>
      <c r="AS125" s="59"/>
      <c r="AT125" s="59"/>
      <c r="AU125" s="59"/>
      <c r="AV125" s="62"/>
      <c r="AW125" s="10"/>
      <c r="AX125" s="326"/>
      <c r="AY125" s="5"/>
      <c r="AZ125" s="10"/>
      <c r="BA125" s="8"/>
      <c r="BB125" s="10"/>
      <c r="BC125" s="10"/>
      <c r="BD125" s="10"/>
      <c r="BE125" s="10"/>
      <c r="BF125" s="10"/>
      <c r="BG125" s="10"/>
      <c r="BH125" s="30"/>
      <c r="BI125" s="10"/>
      <c r="BJ125" s="338"/>
      <c r="BK125" s="338"/>
      <c r="BL125" s="303"/>
      <c r="BM125" s="5"/>
      <c r="BN125" s="10"/>
      <c r="BO125" s="8"/>
      <c r="BP125" s="5"/>
      <c r="BQ125" s="10"/>
      <c r="BR125" s="29">
        <v>1992</v>
      </c>
      <c r="BS125" s="64">
        <v>1991</v>
      </c>
      <c r="BT125" s="14">
        <v>18</v>
      </c>
      <c r="BU125" s="10"/>
      <c r="BV125" s="8"/>
      <c r="BW125" s="10"/>
      <c r="BX125" s="10"/>
      <c r="BY125" s="10"/>
      <c r="BZ125" s="10"/>
      <c r="CA125" s="10"/>
      <c r="CB125" s="10"/>
      <c r="CC125" s="221"/>
      <c r="CD125" s="10"/>
      <c r="CE125" s="317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317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38">
        <f t="shared" si="61"/>
        <v>0</v>
      </c>
      <c r="DW125" s="14" t="str">
        <f t="shared" si="62"/>
        <v>PROB</v>
      </c>
    </row>
    <row r="126" spans="1:127" customFormat="1">
      <c r="A126" s="210">
        <v>33512</v>
      </c>
      <c r="B126" s="211"/>
      <c r="C126" s="8">
        <v>2</v>
      </c>
      <c r="D126" s="10">
        <v>15</v>
      </c>
      <c r="E126" s="10">
        <v>4</v>
      </c>
      <c r="F126" s="10">
        <v>0</v>
      </c>
      <c r="G126" s="10">
        <v>0</v>
      </c>
      <c r="H126" s="10">
        <v>2</v>
      </c>
      <c r="I126" s="10">
        <v>0</v>
      </c>
      <c r="J126" s="10">
        <v>0</v>
      </c>
      <c r="K126" s="59">
        <v>0</v>
      </c>
      <c r="L126" s="59">
        <v>0</v>
      </c>
      <c r="M126" s="59"/>
      <c r="N126" s="59"/>
      <c r="O126" s="10">
        <v>37</v>
      </c>
      <c r="P126" s="59">
        <v>0</v>
      </c>
      <c r="Q126" s="59">
        <v>0</v>
      </c>
      <c r="R126" s="10">
        <v>0</v>
      </c>
      <c r="S126" s="35">
        <f t="shared" si="60"/>
        <v>60</v>
      </c>
      <c r="T126" s="10"/>
      <c r="U126" s="10"/>
      <c r="V126" s="10"/>
      <c r="W126" s="10"/>
      <c r="X126" s="5"/>
      <c r="Y126" s="10"/>
      <c r="Z126" s="8"/>
      <c r="AA126" s="10">
        <v>789895</v>
      </c>
      <c r="AB126" s="10"/>
      <c r="AC126" s="8"/>
      <c r="AD126" s="10"/>
      <c r="AE126" s="35"/>
      <c r="AF126" s="10"/>
      <c r="AG126" s="8">
        <v>73</v>
      </c>
      <c r="AH126" s="59">
        <v>10</v>
      </c>
      <c r="AI126" s="10">
        <v>116</v>
      </c>
      <c r="AJ126" s="5">
        <v>16</v>
      </c>
      <c r="AK126" s="10"/>
      <c r="AL126" s="8"/>
      <c r="AM126" s="10"/>
      <c r="AN126" s="35"/>
      <c r="AO126" s="10"/>
      <c r="AP126" s="10"/>
      <c r="AQ126" s="35"/>
      <c r="AR126" s="59"/>
      <c r="AS126" s="59"/>
      <c r="AT126" s="59"/>
      <c r="AU126" s="59"/>
      <c r="AV126" s="62"/>
      <c r="AW126" s="10"/>
      <c r="AX126" s="326"/>
      <c r="AY126" s="5"/>
      <c r="AZ126" s="10"/>
      <c r="BA126" s="8"/>
      <c r="BB126" s="10"/>
      <c r="BC126" s="10"/>
      <c r="BD126" s="10"/>
      <c r="BE126" s="10"/>
      <c r="BF126" s="10"/>
      <c r="BG126" s="10"/>
      <c r="BH126" s="30"/>
      <c r="BI126" s="10"/>
      <c r="BJ126" s="338"/>
      <c r="BK126" s="338"/>
      <c r="BL126" s="303"/>
      <c r="BM126" s="5"/>
      <c r="BN126" s="10"/>
      <c r="BO126" s="8"/>
      <c r="BP126" s="5"/>
      <c r="BQ126" s="10"/>
      <c r="BR126" s="29">
        <v>1992</v>
      </c>
      <c r="BS126" s="64">
        <v>1991</v>
      </c>
      <c r="BT126" s="14">
        <v>19</v>
      </c>
      <c r="BU126" s="10"/>
      <c r="BV126" s="8"/>
      <c r="BW126" s="10"/>
      <c r="BX126" s="10"/>
      <c r="BY126" s="10"/>
      <c r="BZ126" s="10"/>
      <c r="CA126" s="10"/>
      <c r="CB126" s="10"/>
      <c r="CC126" s="221"/>
      <c r="CD126" s="10"/>
      <c r="CE126" s="317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317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38">
        <f t="shared" si="61"/>
        <v>0</v>
      </c>
      <c r="DW126" s="14" t="str">
        <f t="shared" si="62"/>
        <v>PROB</v>
      </c>
    </row>
    <row r="127" spans="1:127" customFormat="1">
      <c r="A127" s="210">
        <v>33526</v>
      </c>
      <c r="B127" s="211"/>
      <c r="C127" s="8">
        <v>1</v>
      </c>
      <c r="D127" s="10">
        <v>10</v>
      </c>
      <c r="E127" s="10">
        <v>2</v>
      </c>
      <c r="F127" s="10">
        <v>0</v>
      </c>
      <c r="G127" s="10">
        <v>4</v>
      </c>
      <c r="H127" s="10">
        <v>2</v>
      </c>
      <c r="I127" s="10">
        <v>0</v>
      </c>
      <c r="J127" s="10">
        <v>0</v>
      </c>
      <c r="K127" s="59">
        <v>0</v>
      </c>
      <c r="L127" s="59">
        <v>0</v>
      </c>
      <c r="M127" s="59"/>
      <c r="N127" s="59"/>
      <c r="O127" s="10">
        <v>4</v>
      </c>
      <c r="P127" s="59">
        <v>0</v>
      </c>
      <c r="Q127" s="59">
        <v>0</v>
      </c>
      <c r="R127" s="10">
        <v>0</v>
      </c>
      <c r="S127" s="35">
        <f t="shared" si="60"/>
        <v>23</v>
      </c>
      <c r="T127" s="10"/>
      <c r="U127" s="10"/>
      <c r="V127" s="10"/>
      <c r="W127" s="10"/>
      <c r="X127" s="5"/>
      <c r="Y127" s="10"/>
      <c r="Z127" s="8"/>
      <c r="AA127" s="10">
        <v>421290</v>
      </c>
      <c r="AB127" s="10"/>
      <c r="AC127" s="8"/>
      <c r="AD127" s="10"/>
      <c r="AE127" s="35"/>
      <c r="AF127" s="10"/>
      <c r="AG127" s="8">
        <v>42</v>
      </c>
      <c r="AH127" s="59">
        <v>10</v>
      </c>
      <c r="AI127" s="10">
        <v>136</v>
      </c>
      <c r="AJ127" s="5">
        <v>20</v>
      </c>
      <c r="AK127" s="10"/>
      <c r="AL127" s="8"/>
      <c r="AM127" s="10"/>
      <c r="AN127" s="35"/>
      <c r="AO127" s="10"/>
      <c r="AP127" s="10"/>
      <c r="AQ127" s="35"/>
      <c r="AR127" s="59"/>
      <c r="AS127" s="59"/>
      <c r="AT127" s="59"/>
      <c r="AU127" s="59"/>
      <c r="AV127" s="62"/>
      <c r="AW127" s="10"/>
      <c r="AX127" s="326"/>
      <c r="AY127" s="5"/>
      <c r="AZ127" s="10"/>
      <c r="BA127" s="8"/>
      <c r="BB127" s="10"/>
      <c r="BC127" s="10"/>
      <c r="BD127" s="10"/>
      <c r="BE127" s="10"/>
      <c r="BF127" s="10"/>
      <c r="BG127" s="10"/>
      <c r="BH127" s="30"/>
      <c r="BI127" s="10"/>
      <c r="BJ127" s="338"/>
      <c r="BK127" s="338"/>
      <c r="BL127" s="303"/>
      <c r="BM127" s="5"/>
      <c r="BN127" s="10"/>
      <c r="BO127" s="8"/>
      <c r="BP127" s="5"/>
      <c r="BQ127" s="10"/>
      <c r="BR127" s="29">
        <v>1992</v>
      </c>
      <c r="BS127" s="64">
        <v>1991</v>
      </c>
      <c r="BT127" s="14">
        <v>20</v>
      </c>
      <c r="BU127" s="10"/>
      <c r="BV127" s="8"/>
      <c r="BW127" s="10"/>
      <c r="BX127" s="10"/>
      <c r="BY127" s="10"/>
      <c r="BZ127" s="10"/>
      <c r="CA127" s="10"/>
      <c r="CB127" s="10"/>
      <c r="CC127" s="221"/>
      <c r="CD127" s="10"/>
      <c r="CE127" s="317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317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38">
        <f t="shared" si="61"/>
        <v>0</v>
      </c>
      <c r="DW127" s="14" t="str">
        <f t="shared" si="62"/>
        <v>PROB</v>
      </c>
    </row>
    <row r="128" spans="1:127" customFormat="1">
      <c r="A128" s="210">
        <v>33543</v>
      </c>
      <c r="B128" s="211"/>
      <c r="C128" s="8">
        <v>7</v>
      </c>
      <c r="D128" s="10">
        <v>17</v>
      </c>
      <c r="E128" s="10">
        <v>22</v>
      </c>
      <c r="F128" s="10">
        <v>0</v>
      </c>
      <c r="G128" s="10">
        <v>2</v>
      </c>
      <c r="H128" s="10">
        <v>1</v>
      </c>
      <c r="I128" s="10">
        <v>0</v>
      </c>
      <c r="J128" s="10">
        <v>0</v>
      </c>
      <c r="K128" s="59">
        <v>0</v>
      </c>
      <c r="L128" s="59">
        <v>0</v>
      </c>
      <c r="M128" s="59"/>
      <c r="N128" s="59"/>
      <c r="O128" s="10">
        <v>18</v>
      </c>
      <c r="P128" s="59">
        <v>0</v>
      </c>
      <c r="Q128" s="59">
        <v>0</v>
      </c>
      <c r="R128" s="10">
        <v>0</v>
      </c>
      <c r="S128" s="35">
        <f t="shared" si="60"/>
        <v>67</v>
      </c>
      <c r="T128" s="10"/>
      <c r="U128" s="10"/>
      <c r="V128" s="10"/>
      <c r="W128" s="10"/>
      <c r="X128" s="5"/>
      <c r="Y128" s="10"/>
      <c r="Z128" s="8"/>
      <c r="AA128" s="10">
        <v>1293990</v>
      </c>
      <c r="AB128" s="10"/>
      <c r="AC128" s="8"/>
      <c r="AD128" s="10"/>
      <c r="AE128" s="35"/>
      <c r="AF128" s="10"/>
      <c r="AG128" s="8">
        <v>91</v>
      </c>
      <c r="AH128" s="59">
        <v>18</v>
      </c>
      <c r="AI128" s="10">
        <v>150</v>
      </c>
      <c r="AJ128" s="5">
        <v>20</v>
      </c>
      <c r="AK128" s="10"/>
      <c r="AL128" s="8"/>
      <c r="AM128" s="10"/>
      <c r="AN128" s="35"/>
      <c r="AO128" s="10"/>
      <c r="AP128" s="10"/>
      <c r="AQ128" s="35"/>
      <c r="AR128" s="59"/>
      <c r="AS128" s="59"/>
      <c r="AT128" s="59"/>
      <c r="AU128" s="59"/>
      <c r="AV128" s="62"/>
      <c r="AW128" s="10"/>
      <c r="AX128" s="326"/>
      <c r="AY128" s="5"/>
      <c r="AZ128" s="10"/>
      <c r="BA128" s="8">
        <v>1565</v>
      </c>
      <c r="BB128" s="10"/>
      <c r="BC128" s="10">
        <v>18292736</v>
      </c>
      <c r="BD128" s="10"/>
      <c r="BE128" s="10"/>
      <c r="BF128" s="10"/>
      <c r="BG128" s="10"/>
      <c r="BH128" s="30"/>
      <c r="BI128" s="10"/>
      <c r="BJ128" s="338"/>
      <c r="BK128" s="338"/>
      <c r="BL128" s="303"/>
      <c r="BM128" s="5"/>
      <c r="BN128" s="10"/>
      <c r="BO128" s="8"/>
      <c r="BP128" s="5"/>
      <c r="BQ128" s="10"/>
      <c r="BR128" s="29">
        <v>1992</v>
      </c>
      <c r="BS128" s="64">
        <v>1991</v>
      </c>
      <c r="BT128" s="14">
        <v>21</v>
      </c>
      <c r="BU128" s="10"/>
      <c r="BV128" s="8"/>
      <c r="BW128" s="10"/>
      <c r="BX128" s="10"/>
      <c r="BY128" s="10"/>
      <c r="BZ128" s="10"/>
      <c r="CA128" s="10"/>
      <c r="CB128" s="10"/>
      <c r="CC128" s="221"/>
      <c r="CD128" s="10"/>
      <c r="CE128" s="317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317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38">
        <f t="shared" si="61"/>
        <v>0</v>
      </c>
      <c r="DW128" s="14" t="str">
        <f t="shared" si="62"/>
        <v>PROB</v>
      </c>
    </row>
    <row r="129" spans="1:127" customFormat="1">
      <c r="A129" s="210">
        <v>33557</v>
      </c>
      <c r="B129" s="211"/>
      <c r="C129" s="8">
        <v>14</v>
      </c>
      <c r="D129" s="10">
        <v>35</v>
      </c>
      <c r="E129" s="10">
        <v>4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59">
        <v>0</v>
      </c>
      <c r="L129" s="59">
        <v>0</v>
      </c>
      <c r="M129" s="59"/>
      <c r="N129" s="59"/>
      <c r="O129" s="10">
        <v>8</v>
      </c>
      <c r="P129" s="59">
        <v>0</v>
      </c>
      <c r="Q129" s="59">
        <v>0</v>
      </c>
      <c r="R129" s="10">
        <v>0</v>
      </c>
      <c r="S129" s="35">
        <f t="shared" si="60"/>
        <v>61</v>
      </c>
      <c r="T129" s="10"/>
      <c r="U129" s="10"/>
      <c r="V129" s="10"/>
      <c r="W129" s="10"/>
      <c r="X129" s="5"/>
      <c r="Y129" s="10"/>
      <c r="Z129" s="8"/>
      <c r="AA129" s="10">
        <v>3061979</v>
      </c>
      <c r="AB129" s="10"/>
      <c r="AC129" s="8"/>
      <c r="AD129" s="10"/>
      <c r="AE129" s="35"/>
      <c r="AF129" s="10"/>
      <c r="AG129" s="8">
        <v>135</v>
      </c>
      <c r="AH129" s="59">
        <v>1</v>
      </c>
      <c r="AI129" s="10">
        <v>158</v>
      </c>
      <c r="AJ129" s="5">
        <v>24</v>
      </c>
      <c r="AK129" s="10"/>
      <c r="AL129" s="8"/>
      <c r="AM129" s="10"/>
      <c r="AN129" s="35"/>
      <c r="AO129" s="10"/>
      <c r="AP129" s="10"/>
      <c r="AQ129" s="35"/>
      <c r="AR129" s="59"/>
      <c r="AS129" s="59"/>
      <c r="AT129" s="59"/>
      <c r="AU129" s="59"/>
      <c r="AV129" s="62"/>
      <c r="AW129" s="10"/>
      <c r="AX129" s="326"/>
      <c r="AY129" s="5"/>
      <c r="AZ129" s="10"/>
      <c r="BA129" s="8"/>
      <c r="BB129" s="10"/>
      <c r="BC129" s="10"/>
      <c r="BD129" s="10"/>
      <c r="BE129" s="10"/>
      <c r="BF129" s="10"/>
      <c r="BG129" s="10"/>
      <c r="BH129" s="30"/>
      <c r="BI129" s="10"/>
      <c r="BJ129" s="338"/>
      <c r="BK129" s="338"/>
      <c r="BL129" s="303"/>
      <c r="BM129" s="5"/>
      <c r="BN129" s="10"/>
      <c r="BO129" s="8"/>
      <c r="BP129" s="5"/>
      <c r="BQ129" s="10"/>
      <c r="BR129" s="29">
        <v>1992</v>
      </c>
      <c r="BS129" s="64">
        <v>1991</v>
      </c>
      <c r="BT129" s="14">
        <v>22</v>
      </c>
      <c r="BU129" s="10"/>
      <c r="BV129" s="8"/>
      <c r="BW129" s="10"/>
      <c r="BX129" s="10"/>
      <c r="BY129" s="10"/>
      <c r="BZ129" s="10"/>
      <c r="CA129" s="10"/>
      <c r="CB129" s="10"/>
      <c r="CC129" s="221"/>
      <c r="CD129" s="10"/>
      <c r="CE129" s="317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317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38">
        <f t="shared" si="61"/>
        <v>0</v>
      </c>
      <c r="DW129" s="14" t="str">
        <f t="shared" si="62"/>
        <v>PROB</v>
      </c>
    </row>
    <row r="130" spans="1:127" customFormat="1">
      <c r="A130" s="210">
        <v>33573</v>
      </c>
      <c r="B130" s="211"/>
      <c r="C130" s="8">
        <v>1</v>
      </c>
      <c r="D130" s="10">
        <v>19</v>
      </c>
      <c r="E130" s="10">
        <v>21</v>
      </c>
      <c r="F130" s="10">
        <v>0</v>
      </c>
      <c r="G130" s="10">
        <v>3</v>
      </c>
      <c r="H130" s="10">
        <v>1</v>
      </c>
      <c r="I130" s="10">
        <v>0</v>
      </c>
      <c r="J130" s="10">
        <v>1</v>
      </c>
      <c r="K130" s="59">
        <v>0</v>
      </c>
      <c r="L130" s="59">
        <v>0</v>
      </c>
      <c r="M130" s="59"/>
      <c r="N130" s="59"/>
      <c r="O130" s="10">
        <v>18</v>
      </c>
      <c r="P130" s="59">
        <v>0</v>
      </c>
      <c r="Q130" s="59">
        <v>0</v>
      </c>
      <c r="R130" s="10">
        <v>0</v>
      </c>
      <c r="S130" s="35">
        <f t="shared" si="60"/>
        <v>64</v>
      </c>
      <c r="T130" s="10"/>
      <c r="U130" s="10"/>
      <c r="V130" s="10"/>
      <c r="W130" s="10"/>
      <c r="X130" s="5"/>
      <c r="Y130" s="10"/>
      <c r="Z130" s="8"/>
      <c r="AA130" s="10">
        <v>2682979</v>
      </c>
      <c r="AB130" s="10"/>
      <c r="AC130" s="8"/>
      <c r="AD130" s="10"/>
      <c r="AE130" s="35"/>
      <c r="AF130" s="10"/>
      <c r="AG130" s="8">
        <v>95</v>
      </c>
      <c r="AH130" s="59">
        <v>19</v>
      </c>
      <c r="AI130" s="10">
        <v>152</v>
      </c>
      <c r="AJ130" s="5">
        <v>24</v>
      </c>
      <c r="AK130" s="10"/>
      <c r="AL130" s="8"/>
      <c r="AM130" s="10"/>
      <c r="AN130" s="35"/>
      <c r="AO130" s="10"/>
      <c r="AP130" s="10"/>
      <c r="AQ130" s="35"/>
      <c r="AR130" s="59"/>
      <c r="AS130" s="59"/>
      <c r="AT130" s="59"/>
      <c r="AU130" s="59"/>
      <c r="AV130" s="62"/>
      <c r="AW130" s="10"/>
      <c r="AX130" s="326"/>
      <c r="AY130" s="5"/>
      <c r="AZ130" s="10"/>
      <c r="BA130" s="8"/>
      <c r="BB130" s="10"/>
      <c r="BC130" s="10"/>
      <c r="BD130" s="10"/>
      <c r="BE130" s="10"/>
      <c r="BF130" s="10"/>
      <c r="BG130" s="10"/>
      <c r="BH130" s="30"/>
      <c r="BI130" s="10"/>
      <c r="BJ130" s="338"/>
      <c r="BK130" s="338"/>
      <c r="BL130" s="303"/>
      <c r="BM130" s="5"/>
      <c r="BN130" s="10"/>
      <c r="BO130" s="8"/>
      <c r="BP130" s="5"/>
      <c r="BQ130" s="10"/>
      <c r="BR130" s="29">
        <v>1992</v>
      </c>
      <c r="BS130" s="64">
        <v>1991</v>
      </c>
      <c r="BT130" s="14">
        <v>23</v>
      </c>
      <c r="BU130" s="10"/>
      <c r="BV130" s="8"/>
      <c r="BW130" s="10"/>
      <c r="BX130" s="10"/>
      <c r="BY130" s="10"/>
      <c r="BZ130" s="10"/>
      <c r="CA130" s="10"/>
      <c r="CB130" s="10"/>
      <c r="CC130" s="221"/>
      <c r="CD130" s="10"/>
      <c r="CE130" s="317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317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38">
        <f t="shared" si="61"/>
        <v>0</v>
      </c>
      <c r="DW130" s="14" t="str">
        <f t="shared" si="62"/>
        <v>PROB</v>
      </c>
    </row>
    <row r="131" spans="1:127" customFormat="1">
      <c r="A131" s="210">
        <v>33587</v>
      </c>
      <c r="B131" s="211"/>
      <c r="C131" s="8">
        <v>5</v>
      </c>
      <c r="D131" s="10">
        <v>9</v>
      </c>
      <c r="E131" s="10">
        <v>3</v>
      </c>
      <c r="F131" s="10">
        <v>0</v>
      </c>
      <c r="G131" s="10">
        <v>1</v>
      </c>
      <c r="H131" s="10">
        <v>1</v>
      </c>
      <c r="I131" s="10">
        <v>0</v>
      </c>
      <c r="J131" s="10">
        <v>0</v>
      </c>
      <c r="K131" s="59">
        <v>0</v>
      </c>
      <c r="L131" s="59">
        <v>0</v>
      </c>
      <c r="M131" s="59"/>
      <c r="N131" s="59"/>
      <c r="O131" s="10">
        <v>5</v>
      </c>
      <c r="P131" s="59">
        <v>0</v>
      </c>
      <c r="Q131" s="59">
        <v>0</v>
      </c>
      <c r="R131" s="10">
        <v>0</v>
      </c>
      <c r="S131" s="35">
        <f t="shared" si="60"/>
        <v>24</v>
      </c>
      <c r="T131" s="10"/>
      <c r="U131" s="10"/>
      <c r="V131" s="10"/>
      <c r="W131" s="10"/>
      <c r="X131" s="5"/>
      <c r="Y131" s="10"/>
      <c r="Z131" s="8"/>
      <c r="AA131" s="10">
        <v>464508</v>
      </c>
      <c r="AB131" s="10"/>
      <c r="AC131" s="8"/>
      <c r="AD131" s="10"/>
      <c r="AE131" s="35"/>
      <c r="AF131" s="10"/>
      <c r="AG131" s="8">
        <v>74</v>
      </c>
      <c r="AH131" s="59">
        <v>21</v>
      </c>
      <c r="AI131" s="10">
        <v>124</v>
      </c>
      <c r="AJ131" s="5">
        <v>20</v>
      </c>
      <c r="AK131" s="10"/>
      <c r="AL131" s="8"/>
      <c r="AM131" s="10"/>
      <c r="AN131" s="35"/>
      <c r="AO131" s="10"/>
      <c r="AP131" s="10"/>
      <c r="AQ131" s="35"/>
      <c r="AR131" s="59"/>
      <c r="AS131" s="59"/>
      <c r="AT131" s="59"/>
      <c r="AU131" s="59"/>
      <c r="AV131" s="62"/>
      <c r="AW131" s="10"/>
      <c r="AX131" s="326"/>
      <c r="AY131" s="5"/>
      <c r="AZ131" s="10"/>
      <c r="BA131" s="8"/>
      <c r="BB131" s="10"/>
      <c r="BC131" s="10"/>
      <c r="BD131" s="10"/>
      <c r="BE131" s="10"/>
      <c r="BF131" s="10"/>
      <c r="BG131" s="10"/>
      <c r="BH131" s="30"/>
      <c r="BI131" s="10"/>
      <c r="BJ131" s="338"/>
      <c r="BK131" s="338"/>
      <c r="BL131" s="303"/>
      <c r="BM131" s="5"/>
      <c r="BN131" s="10"/>
      <c r="BO131" s="8"/>
      <c r="BP131" s="5"/>
      <c r="BQ131" s="10"/>
      <c r="BR131" s="29">
        <v>1992</v>
      </c>
      <c r="BS131" s="64">
        <v>1991</v>
      </c>
      <c r="BT131" s="14">
        <v>24</v>
      </c>
      <c r="BU131" s="10"/>
      <c r="BV131" s="8"/>
      <c r="BW131" s="10"/>
      <c r="BX131" s="10"/>
      <c r="BY131" s="10"/>
      <c r="BZ131" s="10"/>
      <c r="CA131" s="10"/>
      <c r="CB131" s="10"/>
      <c r="CC131" s="221"/>
      <c r="CD131" s="10"/>
      <c r="CE131" s="317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317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38">
        <f t="shared" si="61"/>
        <v>0</v>
      </c>
      <c r="DW131" s="14" t="str">
        <f t="shared" si="62"/>
        <v>PROB</v>
      </c>
    </row>
    <row r="132" spans="1:127" customFormat="1">
      <c r="A132" s="210">
        <v>33604</v>
      </c>
      <c r="B132" s="211"/>
      <c r="C132" s="8">
        <v>0</v>
      </c>
      <c r="D132" s="10">
        <v>16</v>
      </c>
      <c r="E132" s="10">
        <v>0</v>
      </c>
      <c r="F132" s="10">
        <v>2</v>
      </c>
      <c r="G132" s="10">
        <v>3</v>
      </c>
      <c r="H132" s="10">
        <v>1</v>
      </c>
      <c r="I132" s="10">
        <v>0</v>
      </c>
      <c r="J132" s="10">
        <v>0</v>
      </c>
      <c r="K132" s="59">
        <v>0</v>
      </c>
      <c r="L132" s="59">
        <v>0</v>
      </c>
      <c r="M132" s="59"/>
      <c r="N132" s="59"/>
      <c r="O132" s="10">
        <v>24</v>
      </c>
      <c r="P132" s="59">
        <v>0</v>
      </c>
      <c r="Q132" s="59">
        <v>0</v>
      </c>
      <c r="R132" s="10">
        <v>0</v>
      </c>
      <c r="S132" s="35">
        <f t="shared" si="60"/>
        <v>46</v>
      </c>
      <c r="T132" s="10"/>
      <c r="U132" s="10"/>
      <c r="V132" s="10"/>
      <c r="W132" s="10"/>
      <c r="X132" s="5"/>
      <c r="Y132" s="10"/>
      <c r="Z132" s="8"/>
      <c r="AA132" s="10">
        <v>994565</v>
      </c>
      <c r="AB132" s="10"/>
      <c r="AC132" s="8"/>
      <c r="AD132" s="10"/>
      <c r="AE132" s="35"/>
      <c r="AF132" s="10"/>
      <c r="AG132" s="8">
        <v>80</v>
      </c>
      <c r="AH132" s="59">
        <v>25</v>
      </c>
      <c r="AI132" s="10">
        <v>147</v>
      </c>
      <c r="AJ132" s="5">
        <v>24</v>
      </c>
      <c r="AK132" s="10"/>
      <c r="AL132" s="8"/>
      <c r="AM132" s="10"/>
      <c r="AN132" s="35"/>
      <c r="AO132" s="10"/>
      <c r="AP132" s="10"/>
      <c r="AQ132" s="35"/>
      <c r="AR132" s="59"/>
      <c r="AS132" s="59"/>
      <c r="AT132" s="59"/>
      <c r="AU132" s="59"/>
      <c r="AV132" s="62"/>
      <c r="AW132" s="10"/>
      <c r="AX132" s="326"/>
      <c r="AY132" s="5"/>
      <c r="AZ132" s="10"/>
      <c r="BA132" s="8">
        <v>1534</v>
      </c>
      <c r="BB132" s="10"/>
      <c r="BC132" s="10">
        <v>17383424</v>
      </c>
      <c r="BD132" s="10"/>
      <c r="BE132" s="10"/>
      <c r="BF132" s="10"/>
      <c r="BG132" s="10"/>
      <c r="BH132" s="30"/>
      <c r="BI132" s="10"/>
      <c r="BJ132" s="338"/>
      <c r="BK132" s="338"/>
      <c r="BL132" s="303"/>
      <c r="BM132" s="5">
        <f>1015+993+927+559</f>
        <v>3494</v>
      </c>
      <c r="BN132" s="10"/>
      <c r="BO132" s="8"/>
      <c r="BP132" s="5"/>
      <c r="BQ132" s="10"/>
      <c r="BR132" s="29">
        <v>1992</v>
      </c>
      <c r="BS132" s="64">
        <v>1992</v>
      </c>
      <c r="BT132" s="14">
        <v>1</v>
      </c>
      <c r="BU132" s="10"/>
      <c r="BV132" s="8">
        <v>1</v>
      </c>
      <c r="BW132" s="10">
        <v>0</v>
      </c>
      <c r="BX132" s="59"/>
      <c r="BY132" s="59"/>
      <c r="BZ132" s="59"/>
      <c r="CA132" s="59"/>
      <c r="CB132" s="59"/>
      <c r="CC132" s="221"/>
      <c r="CD132" s="10">
        <v>1</v>
      </c>
      <c r="CE132" s="317"/>
      <c r="CF132" s="10">
        <v>1</v>
      </c>
      <c r="CG132" s="10">
        <v>0</v>
      </c>
      <c r="CH132" s="10"/>
      <c r="CI132" s="10">
        <v>3</v>
      </c>
      <c r="CJ132" s="10">
        <v>9</v>
      </c>
      <c r="CK132" s="10"/>
      <c r="CL132" s="10"/>
      <c r="CM132" s="10">
        <v>0</v>
      </c>
      <c r="CN132" s="10"/>
      <c r="CO132" s="10">
        <v>3</v>
      </c>
      <c r="CP132" s="317"/>
      <c r="CQ132" s="10"/>
      <c r="CR132" s="10"/>
      <c r="CS132" s="10">
        <v>0</v>
      </c>
      <c r="CT132" s="10">
        <v>9</v>
      </c>
      <c r="CU132" s="10">
        <v>3</v>
      </c>
      <c r="CV132" s="10">
        <v>1</v>
      </c>
      <c r="CW132" s="10"/>
      <c r="CX132" s="10"/>
      <c r="CY132" s="59">
        <v>0</v>
      </c>
      <c r="CZ132" s="59"/>
      <c r="DA132" s="59"/>
      <c r="DB132" s="10">
        <v>6</v>
      </c>
      <c r="DC132" s="10"/>
      <c r="DD132" s="10"/>
      <c r="DE132" s="10"/>
      <c r="DF132" s="10"/>
      <c r="DG132" s="10">
        <v>0</v>
      </c>
      <c r="DH132" s="10">
        <v>2</v>
      </c>
      <c r="DI132" s="10">
        <v>0</v>
      </c>
      <c r="DJ132" s="59">
        <v>0</v>
      </c>
      <c r="DK132" s="59"/>
      <c r="DL132" s="59"/>
      <c r="DM132" s="10">
        <v>3</v>
      </c>
      <c r="DN132" s="10"/>
      <c r="DO132" s="10">
        <v>3</v>
      </c>
      <c r="DP132" s="10"/>
      <c r="DQ132" s="10"/>
      <c r="DR132" s="10"/>
      <c r="DS132" s="59">
        <v>0</v>
      </c>
      <c r="DT132" s="10">
        <v>1</v>
      </c>
      <c r="DU132" s="10">
        <v>0</v>
      </c>
      <c r="DV132" s="38">
        <f t="shared" si="61"/>
        <v>46</v>
      </c>
      <c r="DW132" s="14" t="str">
        <f t="shared" si="62"/>
        <v/>
      </c>
    </row>
    <row r="133" spans="1:127" customFormat="1">
      <c r="A133" s="210">
        <v>33618</v>
      </c>
      <c r="B133" s="211"/>
      <c r="C133" s="8">
        <v>1</v>
      </c>
      <c r="D133" s="10">
        <v>14</v>
      </c>
      <c r="E133" s="10">
        <v>1</v>
      </c>
      <c r="F133" s="10">
        <v>0</v>
      </c>
      <c r="G133" s="10">
        <v>3</v>
      </c>
      <c r="H133" s="10">
        <v>3</v>
      </c>
      <c r="I133" s="10">
        <v>0</v>
      </c>
      <c r="J133" s="10">
        <v>0</v>
      </c>
      <c r="K133" s="59">
        <v>0</v>
      </c>
      <c r="L133" s="59">
        <v>0</v>
      </c>
      <c r="M133" s="59"/>
      <c r="N133" s="59"/>
      <c r="O133" s="10">
        <v>10</v>
      </c>
      <c r="P133" s="59">
        <v>0</v>
      </c>
      <c r="Q133" s="59">
        <v>0</v>
      </c>
      <c r="R133" s="10">
        <v>0</v>
      </c>
      <c r="S133" s="35">
        <f t="shared" si="60"/>
        <v>32</v>
      </c>
      <c r="T133" s="10"/>
      <c r="U133" s="10"/>
      <c r="V133" s="10"/>
      <c r="W133" s="10"/>
      <c r="X133" s="5"/>
      <c r="Y133" s="10"/>
      <c r="Z133" s="8"/>
      <c r="AA133" s="10">
        <v>892664</v>
      </c>
      <c r="AB133" s="10"/>
      <c r="AC133" s="8"/>
      <c r="AD133" s="10"/>
      <c r="AE133" s="35"/>
      <c r="AF133" s="10"/>
      <c r="AG133" s="8">
        <v>77</v>
      </c>
      <c r="AH133" s="59">
        <v>23</v>
      </c>
      <c r="AI133" s="10">
        <v>150</v>
      </c>
      <c r="AJ133" s="5">
        <v>16</v>
      </c>
      <c r="AK133" s="10"/>
      <c r="AL133" s="8"/>
      <c r="AM133" s="10"/>
      <c r="AN133" s="35"/>
      <c r="AO133" s="10"/>
      <c r="AP133" s="10"/>
      <c r="AQ133" s="35"/>
      <c r="AR133" s="59"/>
      <c r="AS133" s="59"/>
      <c r="AT133" s="59"/>
      <c r="AU133" s="59"/>
      <c r="AV133" s="62"/>
      <c r="AW133" s="10"/>
      <c r="AX133" s="326"/>
      <c r="AY133" s="5"/>
      <c r="AZ133" s="10"/>
      <c r="BA133" s="8"/>
      <c r="BB133" s="10"/>
      <c r="BC133" s="10"/>
      <c r="BD133" s="10"/>
      <c r="BE133" s="10"/>
      <c r="BF133" s="10"/>
      <c r="BG133" s="10"/>
      <c r="BH133" s="30"/>
      <c r="BI133" s="10"/>
      <c r="BJ133" s="338"/>
      <c r="BK133" s="338"/>
      <c r="BL133" s="303"/>
      <c r="BM133" s="5"/>
      <c r="BN133" s="10"/>
      <c r="BO133" s="8"/>
      <c r="BP133" s="5"/>
      <c r="BQ133" s="10"/>
      <c r="BR133" s="29">
        <v>1992</v>
      </c>
      <c r="BS133" s="64">
        <v>1992</v>
      </c>
      <c r="BT133" s="14">
        <v>2</v>
      </c>
      <c r="BU133" s="10"/>
      <c r="BV133" s="8">
        <v>0</v>
      </c>
      <c r="BW133" s="10">
        <v>0</v>
      </c>
      <c r="BX133" s="59"/>
      <c r="BY133" s="59"/>
      <c r="BZ133" s="59"/>
      <c r="CA133" s="59"/>
      <c r="CB133" s="59"/>
      <c r="CC133" s="221"/>
      <c r="CD133" s="10">
        <v>1</v>
      </c>
      <c r="CE133" s="317"/>
      <c r="CF133" s="10">
        <v>0</v>
      </c>
      <c r="CG133" s="10">
        <v>0</v>
      </c>
      <c r="CH133" s="10"/>
      <c r="CI133" s="10">
        <v>0</v>
      </c>
      <c r="CJ133" s="10">
        <v>0</v>
      </c>
      <c r="CK133" s="10"/>
      <c r="CL133" s="10"/>
      <c r="CM133" s="10">
        <v>1</v>
      </c>
      <c r="CN133" s="10"/>
      <c r="CO133" s="10">
        <v>2</v>
      </c>
      <c r="CP133" s="317"/>
      <c r="CQ133" s="10"/>
      <c r="CR133" s="10"/>
      <c r="CS133" s="10">
        <v>0</v>
      </c>
      <c r="CT133" s="10">
        <v>16</v>
      </c>
      <c r="CU133" s="10">
        <v>3</v>
      </c>
      <c r="CV133" s="10">
        <v>0</v>
      </c>
      <c r="CW133" s="10"/>
      <c r="CX133" s="10"/>
      <c r="CY133" s="59">
        <v>0</v>
      </c>
      <c r="CZ133" s="59"/>
      <c r="DA133" s="59"/>
      <c r="DB133" s="10">
        <v>9</v>
      </c>
      <c r="DC133" s="10"/>
      <c r="DD133" s="10"/>
      <c r="DE133" s="10"/>
      <c r="DF133" s="10"/>
      <c r="DG133" s="10">
        <v>0</v>
      </c>
      <c r="DH133" s="10">
        <v>0</v>
      </c>
      <c r="DI133" s="10">
        <v>0</v>
      </c>
      <c r="DJ133" s="59">
        <v>0</v>
      </c>
      <c r="DK133" s="59"/>
      <c r="DL133" s="59"/>
      <c r="DM133" s="10">
        <v>0</v>
      </c>
      <c r="DN133" s="10"/>
      <c r="DO133" s="10">
        <v>0</v>
      </c>
      <c r="DP133" s="10"/>
      <c r="DQ133" s="10"/>
      <c r="DR133" s="10"/>
      <c r="DS133" s="59">
        <v>0</v>
      </c>
      <c r="DT133" s="10">
        <v>0</v>
      </c>
      <c r="DU133" s="10">
        <v>0</v>
      </c>
      <c r="DV133" s="38">
        <f t="shared" si="61"/>
        <v>32</v>
      </c>
      <c r="DW133" s="14" t="str">
        <f t="shared" si="62"/>
        <v/>
      </c>
    </row>
    <row r="134" spans="1:127" customFormat="1">
      <c r="A134" s="210">
        <v>33635</v>
      </c>
      <c r="B134" s="211"/>
      <c r="C134" s="8">
        <v>4</v>
      </c>
      <c r="D134" s="10">
        <v>25</v>
      </c>
      <c r="E134" s="10">
        <v>2</v>
      </c>
      <c r="F134" s="10">
        <v>0</v>
      </c>
      <c r="G134" s="10">
        <v>1</v>
      </c>
      <c r="H134" s="10">
        <v>0</v>
      </c>
      <c r="I134" s="10">
        <v>0</v>
      </c>
      <c r="J134" s="10">
        <v>0</v>
      </c>
      <c r="K134" s="59">
        <v>0</v>
      </c>
      <c r="L134" s="59">
        <v>0</v>
      </c>
      <c r="M134" s="59"/>
      <c r="N134" s="59"/>
      <c r="O134" s="10">
        <v>11</v>
      </c>
      <c r="P134" s="59">
        <v>0</v>
      </c>
      <c r="Q134" s="59">
        <v>0</v>
      </c>
      <c r="R134" s="10">
        <v>0</v>
      </c>
      <c r="S134" s="35">
        <f t="shared" si="60"/>
        <v>43</v>
      </c>
      <c r="T134" s="10"/>
      <c r="U134" s="10"/>
      <c r="V134" s="10"/>
      <c r="W134" s="10"/>
      <c r="X134" s="5"/>
      <c r="Y134" s="10"/>
      <c r="Z134" s="8"/>
      <c r="AA134" s="10">
        <v>875078</v>
      </c>
      <c r="AB134" s="10"/>
      <c r="AC134" s="8"/>
      <c r="AD134" s="10"/>
      <c r="AE134" s="35"/>
      <c r="AF134" s="10"/>
      <c r="AG134" s="8">
        <v>96</v>
      </c>
      <c r="AH134" s="59">
        <v>4</v>
      </c>
      <c r="AI134" s="10">
        <v>150</v>
      </c>
      <c r="AJ134" s="5">
        <v>20</v>
      </c>
      <c r="AK134" s="10"/>
      <c r="AL134" s="8"/>
      <c r="AM134" s="10"/>
      <c r="AN134" s="35"/>
      <c r="AO134" s="10"/>
      <c r="AP134" s="10"/>
      <c r="AQ134" s="35"/>
      <c r="AR134" s="59"/>
      <c r="AS134" s="59"/>
      <c r="AT134" s="59"/>
      <c r="AU134" s="59"/>
      <c r="AV134" s="62"/>
      <c r="AW134" s="10"/>
      <c r="AX134" s="326"/>
      <c r="AY134" s="5"/>
      <c r="AZ134" s="10"/>
      <c r="BA134" s="8"/>
      <c r="BB134" s="10"/>
      <c r="BC134" s="10"/>
      <c r="BD134" s="10"/>
      <c r="BE134" s="10"/>
      <c r="BF134" s="10"/>
      <c r="BG134" s="10"/>
      <c r="BH134" s="30"/>
      <c r="BI134" s="10"/>
      <c r="BJ134" s="338"/>
      <c r="BK134" s="338"/>
      <c r="BL134" s="303"/>
      <c r="BM134" s="5"/>
      <c r="BN134" s="10"/>
      <c r="BO134" s="8"/>
      <c r="BP134" s="5"/>
      <c r="BQ134" s="10"/>
      <c r="BR134" s="29">
        <v>1992</v>
      </c>
      <c r="BS134" s="64">
        <v>1992</v>
      </c>
      <c r="BT134" s="14">
        <v>3</v>
      </c>
      <c r="BU134" s="10"/>
      <c r="BV134" s="8">
        <v>0</v>
      </c>
      <c r="BW134" s="10">
        <v>10</v>
      </c>
      <c r="BX134" s="59"/>
      <c r="BY134" s="59"/>
      <c r="BZ134" s="59"/>
      <c r="CA134" s="59"/>
      <c r="CB134" s="59"/>
      <c r="CC134" s="221"/>
      <c r="CD134" s="10">
        <v>14</v>
      </c>
      <c r="CE134" s="317"/>
      <c r="CF134" s="10">
        <v>0</v>
      </c>
      <c r="CG134" s="10">
        <v>0</v>
      </c>
      <c r="CH134" s="10"/>
      <c r="CI134" s="10">
        <v>0</v>
      </c>
      <c r="CJ134" s="10">
        <v>1</v>
      </c>
      <c r="CK134" s="10"/>
      <c r="CL134" s="10"/>
      <c r="CM134" s="10">
        <v>0</v>
      </c>
      <c r="CN134" s="10"/>
      <c r="CO134" s="10">
        <v>3</v>
      </c>
      <c r="CP134" s="317"/>
      <c r="CQ134" s="10"/>
      <c r="CR134" s="10"/>
      <c r="CS134" s="10">
        <v>1</v>
      </c>
      <c r="CT134" s="10">
        <v>2</v>
      </c>
      <c r="CU134" s="10">
        <v>9</v>
      </c>
      <c r="CV134" s="10">
        <v>1</v>
      </c>
      <c r="CW134" s="10"/>
      <c r="CX134" s="10"/>
      <c r="CY134" s="59">
        <v>0</v>
      </c>
      <c r="CZ134" s="59"/>
      <c r="DA134" s="59"/>
      <c r="DB134" s="10">
        <v>2</v>
      </c>
      <c r="DC134" s="10"/>
      <c r="DD134" s="10"/>
      <c r="DE134" s="10"/>
      <c r="DF134" s="10"/>
      <c r="DG134" s="10">
        <v>0</v>
      </c>
      <c r="DH134" s="10">
        <v>0</v>
      </c>
      <c r="DI134" s="10">
        <v>0</v>
      </c>
      <c r="DJ134" s="59">
        <v>0</v>
      </c>
      <c r="DK134" s="59"/>
      <c r="DL134" s="59"/>
      <c r="DM134" s="10">
        <v>0</v>
      </c>
      <c r="DN134" s="10"/>
      <c r="DO134" s="10">
        <v>0</v>
      </c>
      <c r="DP134" s="10"/>
      <c r="DQ134" s="10"/>
      <c r="DR134" s="10"/>
      <c r="DS134" s="59">
        <v>0</v>
      </c>
      <c r="DT134" s="10">
        <v>0</v>
      </c>
      <c r="DU134" s="10">
        <v>0</v>
      </c>
      <c r="DV134" s="38">
        <f t="shared" si="61"/>
        <v>43</v>
      </c>
      <c r="DW134" s="14" t="str">
        <f t="shared" si="62"/>
        <v/>
      </c>
    </row>
    <row r="135" spans="1:127" customFormat="1">
      <c r="A135" s="210">
        <v>33649</v>
      </c>
      <c r="B135" s="211"/>
      <c r="C135" s="8">
        <v>2</v>
      </c>
      <c r="D135" s="10">
        <v>17</v>
      </c>
      <c r="E135" s="10">
        <v>2</v>
      </c>
      <c r="F135" s="10">
        <v>0</v>
      </c>
      <c r="G135" s="10">
        <v>2</v>
      </c>
      <c r="H135" s="10">
        <v>9</v>
      </c>
      <c r="I135" s="10">
        <v>0</v>
      </c>
      <c r="J135" s="10">
        <v>31</v>
      </c>
      <c r="K135" s="59">
        <v>0</v>
      </c>
      <c r="L135" s="59">
        <v>0</v>
      </c>
      <c r="M135" s="59"/>
      <c r="N135" s="59"/>
      <c r="O135" s="10">
        <v>21</v>
      </c>
      <c r="P135" s="59">
        <v>0</v>
      </c>
      <c r="Q135" s="59">
        <v>0</v>
      </c>
      <c r="R135" s="10">
        <v>0</v>
      </c>
      <c r="S135" s="35">
        <f t="shared" si="60"/>
        <v>84</v>
      </c>
      <c r="T135" s="10"/>
      <c r="U135" s="10"/>
      <c r="V135" s="10"/>
      <c r="W135" s="10"/>
      <c r="X135" s="5"/>
      <c r="Y135" s="10"/>
      <c r="Z135" s="8"/>
      <c r="AA135" s="10">
        <v>1058347</v>
      </c>
      <c r="AB135" s="10"/>
      <c r="AC135" s="8"/>
      <c r="AD135" s="10"/>
      <c r="AE135" s="35"/>
      <c r="AF135" s="10"/>
      <c r="AG135" s="8">
        <v>111</v>
      </c>
      <c r="AH135" s="59">
        <v>6</v>
      </c>
      <c r="AI135" s="10">
        <v>156</v>
      </c>
      <c r="AJ135" s="5">
        <v>24</v>
      </c>
      <c r="AK135" s="10"/>
      <c r="AL135" s="8"/>
      <c r="AM135" s="10"/>
      <c r="AN135" s="35"/>
      <c r="AO135" s="10"/>
      <c r="AP135" s="10"/>
      <c r="AQ135" s="35"/>
      <c r="AR135" s="59"/>
      <c r="AS135" s="59"/>
      <c r="AT135" s="59"/>
      <c r="AU135" s="59"/>
      <c r="AV135" s="62"/>
      <c r="AW135" s="10"/>
      <c r="AX135" s="326"/>
      <c r="AY135" s="5"/>
      <c r="AZ135" s="10"/>
      <c r="BA135" s="8"/>
      <c r="BB135" s="10"/>
      <c r="BC135" s="10"/>
      <c r="BD135" s="10"/>
      <c r="BE135" s="10"/>
      <c r="BF135" s="10"/>
      <c r="BG135" s="10"/>
      <c r="BH135" s="30"/>
      <c r="BI135" s="10"/>
      <c r="BJ135" s="338"/>
      <c r="BK135" s="338"/>
      <c r="BL135" s="303"/>
      <c r="BM135" s="5"/>
      <c r="BN135" s="10"/>
      <c r="BO135" s="8"/>
      <c r="BP135" s="5"/>
      <c r="BQ135" s="10"/>
      <c r="BR135" s="29">
        <v>1992</v>
      </c>
      <c r="BS135" s="64">
        <v>1992</v>
      </c>
      <c r="BT135" s="14">
        <v>4</v>
      </c>
      <c r="BU135" s="10"/>
      <c r="BV135" s="8">
        <v>0</v>
      </c>
      <c r="BW135" s="10">
        <v>32</v>
      </c>
      <c r="BX135" s="59"/>
      <c r="BY135" s="59"/>
      <c r="BZ135" s="59"/>
      <c r="CA135" s="59"/>
      <c r="CB135" s="59"/>
      <c r="CC135" s="221"/>
      <c r="CD135" s="10">
        <v>3</v>
      </c>
      <c r="CE135" s="317"/>
      <c r="CF135" s="10">
        <v>9</v>
      </c>
      <c r="CG135" s="10">
        <v>0</v>
      </c>
      <c r="CH135" s="10"/>
      <c r="CI135" s="10">
        <v>0</v>
      </c>
      <c r="CJ135" s="10">
        <v>4</v>
      </c>
      <c r="CK135" s="10"/>
      <c r="CL135" s="10"/>
      <c r="CM135" s="10">
        <v>0</v>
      </c>
      <c r="CN135" s="10"/>
      <c r="CO135" s="10">
        <v>0</v>
      </c>
      <c r="CP135" s="317"/>
      <c r="CQ135" s="10"/>
      <c r="CR135" s="10"/>
      <c r="CS135" s="10">
        <v>0</v>
      </c>
      <c r="CT135" s="10">
        <v>22</v>
      </c>
      <c r="CU135" s="10">
        <v>2</v>
      </c>
      <c r="CV135" s="10">
        <v>1</v>
      </c>
      <c r="CW135" s="10"/>
      <c r="CX135" s="10"/>
      <c r="CY135" s="59">
        <v>0</v>
      </c>
      <c r="CZ135" s="59"/>
      <c r="DA135" s="59"/>
      <c r="DB135" s="10">
        <v>5</v>
      </c>
      <c r="DC135" s="10"/>
      <c r="DD135" s="10"/>
      <c r="DE135" s="10"/>
      <c r="DF135" s="10"/>
      <c r="DG135" s="10">
        <v>1</v>
      </c>
      <c r="DH135" s="10">
        <v>0</v>
      </c>
      <c r="DI135" s="10">
        <v>1</v>
      </c>
      <c r="DJ135" s="59">
        <v>0</v>
      </c>
      <c r="DK135" s="59"/>
      <c r="DL135" s="59"/>
      <c r="DM135" s="10">
        <v>0</v>
      </c>
      <c r="DN135" s="10"/>
      <c r="DO135" s="10">
        <v>3</v>
      </c>
      <c r="DP135" s="10"/>
      <c r="DQ135" s="10"/>
      <c r="DR135" s="10"/>
      <c r="DS135" s="59">
        <v>0</v>
      </c>
      <c r="DT135" s="10">
        <v>1</v>
      </c>
      <c r="DU135" s="10">
        <v>0</v>
      </c>
      <c r="DV135" s="38">
        <f t="shared" si="61"/>
        <v>84</v>
      </c>
      <c r="DW135" s="14" t="str">
        <f t="shared" si="62"/>
        <v/>
      </c>
    </row>
    <row r="136" spans="1:127" customFormat="1">
      <c r="A136" s="210">
        <v>33664</v>
      </c>
      <c r="B136" s="211"/>
      <c r="C136" s="8">
        <v>0</v>
      </c>
      <c r="D136" s="10">
        <v>17</v>
      </c>
      <c r="E136" s="10">
        <v>1</v>
      </c>
      <c r="F136" s="10">
        <v>0</v>
      </c>
      <c r="G136" s="10">
        <v>2</v>
      </c>
      <c r="H136" s="10">
        <v>0</v>
      </c>
      <c r="I136" s="10">
        <v>0</v>
      </c>
      <c r="J136" s="10">
        <v>1</v>
      </c>
      <c r="K136" s="59">
        <v>0</v>
      </c>
      <c r="L136" s="59">
        <v>0</v>
      </c>
      <c r="M136" s="59"/>
      <c r="N136" s="59"/>
      <c r="O136" s="10">
        <v>13</v>
      </c>
      <c r="P136" s="59">
        <v>0</v>
      </c>
      <c r="Q136" s="59">
        <v>0</v>
      </c>
      <c r="R136" s="10">
        <v>0</v>
      </c>
      <c r="S136" s="35">
        <f t="shared" si="60"/>
        <v>34</v>
      </c>
      <c r="T136" s="10"/>
      <c r="U136" s="10"/>
      <c r="V136" s="10"/>
      <c r="W136" s="10"/>
      <c r="X136" s="5"/>
      <c r="Y136" s="10"/>
      <c r="Z136" s="8"/>
      <c r="AA136" s="10">
        <v>687462</v>
      </c>
      <c r="AB136" s="10"/>
      <c r="AC136" s="8"/>
      <c r="AD136" s="10"/>
      <c r="AE136" s="35"/>
      <c r="AF136" s="10"/>
      <c r="AG136" s="8">
        <v>70</v>
      </c>
      <c r="AH136" s="59">
        <v>8</v>
      </c>
      <c r="AI136" s="10">
        <v>108</v>
      </c>
      <c r="AJ136" s="5">
        <v>16</v>
      </c>
      <c r="AK136" s="10"/>
      <c r="AL136" s="8"/>
      <c r="AM136" s="10"/>
      <c r="AN136" s="35"/>
      <c r="AO136" s="10"/>
      <c r="AP136" s="10"/>
      <c r="AQ136" s="35"/>
      <c r="AR136" s="59"/>
      <c r="AS136" s="59"/>
      <c r="AT136" s="59"/>
      <c r="AU136" s="59"/>
      <c r="AV136" s="62"/>
      <c r="AW136" s="10"/>
      <c r="AX136" s="326"/>
      <c r="AY136" s="5"/>
      <c r="AZ136" s="10"/>
      <c r="BA136" s="8">
        <v>1544</v>
      </c>
      <c r="BB136" s="10"/>
      <c r="BC136" s="10">
        <v>17448960</v>
      </c>
      <c r="BD136" s="10"/>
      <c r="BE136" s="10"/>
      <c r="BF136" s="10"/>
      <c r="BG136" s="10"/>
      <c r="BH136" s="30"/>
      <c r="BI136" s="10"/>
      <c r="BJ136" s="338"/>
      <c r="BK136" s="338"/>
      <c r="BL136" s="303"/>
      <c r="BM136" s="5"/>
      <c r="BN136" s="10"/>
      <c r="BO136" s="8"/>
      <c r="BP136" s="5"/>
      <c r="BQ136" s="10"/>
      <c r="BR136" s="29">
        <v>1992</v>
      </c>
      <c r="BS136" s="64">
        <v>1992</v>
      </c>
      <c r="BT136" s="14">
        <v>5</v>
      </c>
      <c r="BU136" s="10"/>
      <c r="BV136" s="8">
        <v>0</v>
      </c>
      <c r="BW136" s="10">
        <v>6</v>
      </c>
      <c r="BX136" s="59"/>
      <c r="BY136" s="59"/>
      <c r="BZ136" s="59"/>
      <c r="CA136" s="59"/>
      <c r="CB136" s="59"/>
      <c r="CC136" s="221"/>
      <c r="CD136" s="10">
        <v>0</v>
      </c>
      <c r="CE136" s="317"/>
      <c r="CF136" s="10">
        <v>0</v>
      </c>
      <c r="CG136" s="10">
        <v>0</v>
      </c>
      <c r="CH136" s="10"/>
      <c r="CI136" s="10">
        <v>0</v>
      </c>
      <c r="CJ136" s="10">
        <v>3</v>
      </c>
      <c r="CK136" s="10"/>
      <c r="CL136" s="10"/>
      <c r="CM136" s="10">
        <v>0</v>
      </c>
      <c r="CN136" s="10"/>
      <c r="CO136" s="10">
        <v>12</v>
      </c>
      <c r="CP136" s="317"/>
      <c r="CQ136" s="10"/>
      <c r="CR136" s="10"/>
      <c r="CS136" s="10">
        <v>0</v>
      </c>
      <c r="CT136" s="10">
        <v>5</v>
      </c>
      <c r="CU136" s="10">
        <v>0</v>
      </c>
      <c r="CV136" s="10">
        <v>0</v>
      </c>
      <c r="CW136" s="10"/>
      <c r="CX136" s="10"/>
      <c r="CY136" s="59">
        <v>0</v>
      </c>
      <c r="CZ136" s="59"/>
      <c r="DA136" s="59"/>
      <c r="DB136" s="10">
        <v>2</v>
      </c>
      <c r="DC136" s="10"/>
      <c r="DD136" s="10"/>
      <c r="DE136" s="10"/>
      <c r="DF136" s="10"/>
      <c r="DG136" s="10">
        <v>0</v>
      </c>
      <c r="DH136" s="10">
        <v>2</v>
      </c>
      <c r="DI136" s="10">
        <v>0</v>
      </c>
      <c r="DJ136" s="59">
        <v>0</v>
      </c>
      <c r="DK136" s="59"/>
      <c r="DL136" s="59"/>
      <c r="DM136" s="10">
        <v>1</v>
      </c>
      <c r="DN136" s="10"/>
      <c r="DO136" s="10">
        <v>3</v>
      </c>
      <c r="DP136" s="10"/>
      <c r="DQ136" s="10"/>
      <c r="DR136" s="10"/>
      <c r="DS136" s="59">
        <v>0</v>
      </c>
      <c r="DT136" s="10">
        <v>0</v>
      </c>
      <c r="DU136" s="10">
        <v>0</v>
      </c>
      <c r="DV136" s="38">
        <f t="shared" si="61"/>
        <v>34</v>
      </c>
      <c r="DW136" s="14" t="str">
        <f t="shared" si="62"/>
        <v/>
      </c>
    </row>
    <row r="137" spans="1:127" customFormat="1">
      <c r="A137" s="210">
        <v>33678</v>
      </c>
      <c r="B137" s="211"/>
      <c r="C137" s="8">
        <v>3</v>
      </c>
      <c r="D137" s="10">
        <v>16</v>
      </c>
      <c r="E137" s="10">
        <v>2</v>
      </c>
      <c r="F137" s="10">
        <v>0</v>
      </c>
      <c r="G137" s="10">
        <v>2</v>
      </c>
      <c r="H137" s="10">
        <v>1</v>
      </c>
      <c r="I137" s="10">
        <v>0</v>
      </c>
      <c r="J137" s="10">
        <v>0</v>
      </c>
      <c r="K137" s="59">
        <v>0</v>
      </c>
      <c r="L137" s="59">
        <v>0</v>
      </c>
      <c r="M137" s="59"/>
      <c r="N137" s="59"/>
      <c r="O137" s="10">
        <v>1</v>
      </c>
      <c r="P137" s="59">
        <v>0</v>
      </c>
      <c r="Q137" s="59">
        <v>0</v>
      </c>
      <c r="R137" s="10">
        <v>0</v>
      </c>
      <c r="S137" s="35">
        <f t="shared" si="60"/>
        <v>25</v>
      </c>
      <c r="T137" s="10"/>
      <c r="U137" s="10"/>
      <c r="V137" s="10"/>
      <c r="W137" s="10"/>
      <c r="X137" s="5"/>
      <c r="Y137" s="10"/>
      <c r="Z137" s="8"/>
      <c r="AA137" s="10">
        <v>431705</v>
      </c>
      <c r="AB137" s="10"/>
      <c r="AC137" s="8"/>
      <c r="AD137" s="10"/>
      <c r="AE137" s="35"/>
      <c r="AF137" s="10"/>
      <c r="AG137" s="8">
        <v>65</v>
      </c>
      <c r="AH137" s="59">
        <v>8</v>
      </c>
      <c r="AI137" s="10">
        <v>118</v>
      </c>
      <c r="AJ137" s="5">
        <v>20</v>
      </c>
      <c r="AK137" s="10"/>
      <c r="AL137" s="8"/>
      <c r="AM137" s="10"/>
      <c r="AN137" s="35"/>
      <c r="AO137" s="10"/>
      <c r="AP137" s="10"/>
      <c r="AQ137" s="35"/>
      <c r="AR137" s="59"/>
      <c r="AS137" s="59"/>
      <c r="AT137" s="59"/>
      <c r="AU137" s="59"/>
      <c r="AV137" s="62"/>
      <c r="AW137" s="10"/>
      <c r="AX137" s="326"/>
      <c r="AY137" s="5"/>
      <c r="AZ137" s="10"/>
      <c r="BA137" s="8"/>
      <c r="BB137" s="10"/>
      <c r="BC137" s="10"/>
      <c r="BD137" s="10"/>
      <c r="BE137" s="10"/>
      <c r="BF137" s="10"/>
      <c r="BG137" s="10"/>
      <c r="BH137" s="30"/>
      <c r="BI137" s="10"/>
      <c r="BJ137" s="338"/>
      <c r="BK137" s="338"/>
      <c r="BL137" s="303"/>
      <c r="BM137" s="5"/>
      <c r="BN137" s="10"/>
      <c r="BO137" s="8"/>
      <c r="BP137" s="5"/>
      <c r="BQ137" s="10"/>
      <c r="BR137" s="29">
        <v>1992</v>
      </c>
      <c r="BS137" s="64">
        <v>1992</v>
      </c>
      <c r="BT137" s="14">
        <v>6</v>
      </c>
      <c r="BU137" s="10"/>
      <c r="BV137" s="8">
        <v>0</v>
      </c>
      <c r="BW137" s="10">
        <v>2</v>
      </c>
      <c r="BX137" s="59"/>
      <c r="BY137" s="59"/>
      <c r="BZ137" s="59"/>
      <c r="CA137" s="59"/>
      <c r="CB137" s="59"/>
      <c r="CC137" s="221"/>
      <c r="CD137" s="10">
        <v>2</v>
      </c>
      <c r="CE137" s="317"/>
      <c r="CF137" s="10">
        <v>0</v>
      </c>
      <c r="CG137" s="10">
        <v>0</v>
      </c>
      <c r="CH137" s="10"/>
      <c r="CI137" s="10">
        <v>0</v>
      </c>
      <c r="CJ137" s="10">
        <v>3</v>
      </c>
      <c r="CK137" s="10"/>
      <c r="CL137" s="10"/>
      <c r="CM137" s="10">
        <v>0</v>
      </c>
      <c r="CN137" s="10"/>
      <c r="CO137" s="10">
        <v>5</v>
      </c>
      <c r="CP137" s="317"/>
      <c r="CQ137" s="10"/>
      <c r="CR137" s="10"/>
      <c r="CS137" s="10">
        <v>0</v>
      </c>
      <c r="CT137" s="10">
        <v>3</v>
      </c>
      <c r="CU137" s="10">
        <v>2</v>
      </c>
      <c r="CV137" s="10">
        <v>0</v>
      </c>
      <c r="CW137" s="10"/>
      <c r="CX137" s="10"/>
      <c r="CY137" s="59">
        <v>0</v>
      </c>
      <c r="CZ137" s="59"/>
      <c r="DA137" s="59"/>
      <c r="DB137" s="10">
        <v>2</v>
      </c>
      <c r="DC137" s="10"/>
      <c r="DD137" s="10"/>
      <c r="DE137" s="10"/>
      <c r="DF137" s="10"/>
      <c r="DG137" s="10">
        <v>1</v>
      </c>
      <c r="DH137" s="10">
        <v>0</v>
      </c>
      <c r="DI137" s="10">
        <v>0</v>
      </c>
      <c r="DJ137" s="59">
        <v>0</v>
      </c>
      <c r="DK137" s="59"/>
      <c r="DL137" s="59"/>
      <c r="DM137" s="10">
        <v>1</v>
      </c>
      <c r="DN137" s="10"/>
      <c r="DO137" s="10">
        <v>4</v>
      </c>
      <c r="DP137" s="10"/>
      <c r="DQ137" s="10"/>
      <c r="DR137" s="10"/>
      <c r="DS137" s="59">
        <v>0</v>
      </c>
      <c r="DT137" s="10">
        <v>0</v>
      </c>
      <c r="DU137" s="10">
        <v>0</v>
      </c>
      <c r="DV137" s="38">
        <f t="shared" si="61"/>
        <v>25</v>
      </c>
      <c r="DW137" s="14" t="str">
        <f t="shared" si="62"/>
        <v/>
      </c>
    </row>
    <row r="138" spans="1:127" customFormat="1">
      <c r="A138" s="210">
        <v>33695</v>
      </c>
      <c r="B138" s="211"/>
      <c r="C138" s="8">
        <v>2</v>
      </c>
      <c r="D138" s="10">
        <v>50</v>
      </c>
      <c r="E138" s="10">
        <v>0</v>
      </c>
      <c r="F138" s="10">
        <v>0</v>
      </c>
      <c r="G138" s="10">
        <v>2</v>
      </c>
      <c r="H138" s="10">
        <v>2</v>
      </c>
      <c r="I138" s="10">
        <v>0</v>
      </c>
      <c r="J138" s="10">
        <v>0</v>
      </c>
      <c r="K138" s="59">
        <v>0</v>
      </c>
      <c r="L138" s="59">
        <v>0</v>
      </c>
      <c r="M138" s="59"/>
      <c r="N138" s="59"/>
      <c r="O138" s="10">
        <v>8</v>
      </c>
      <c r="P138" s="59">
        <v>0</v>
      </c>
      <c r="Q138" s="59">
        <v>0</v>
      </c>
      <c r="R138" s="10">
        <v>0</v>
      </c>
      <c r="S138" s="35">
        <f t="shared" si="60"/>
        <v>64</v>
      </c>
      <c r="T138" s="10"/>
      <c r="U138" s="10"/>
      <c r="V138" s="10"/>
      <c r="W138" s="10"/>
      <c r="X138" s="5"/>
      <c r="Y138" s="10"/>
      <c r="Z138" s="8"/>
      <c r="AA138" s="10">
        <v>1926383</v>
      </c>
      <c r="AB138" s="10"/>
      <c r="AC138" s="8"/>
      <c r="AD138" s="10"/>
      <c r="AE138" s="35"/>
      <c r="AF138" s="10"/>
      <c r="AG138" s="8">
        <v>155</v>
      </c>
      <c r="AH138" s="59">
        <v>11</v>
      </c>
      <c r="AI138" s="10">
        <v>202</v>
      </c>
      <c r="AJ138" s="5">
        <v>24</v>
      </c>
      <c r="AK138" s="10"/>
      <c r="AL138" s="8"/>
      <c r="AM138" s="10"/>
      <c r="AN138" s="35"/>
      <c r="AO138" s="10"/>
      <c r="AP138" s="10"/>
      <c r="AQ138" s="35"/>
      <c r="AR138" s="59"/>
      <c r="AS138" s="59"/>
      <c r="AT138" s="59"/>
      <c r="AU138" s="59"/>
      <c r="AV138" s="62"/>
      <c r="AW138" s="10"/>
      <c r="AX138" s="326"/>
      <c r="AY138" s="5"/>
      <c r="AZ138" s="10"/>
      <c r="BA138" s="8"/>
      <c r="BB138" s="10"/>
      <c r="BC138" s="10"/>
      <c r="BD138" s="10"/>
      <c r="BE138" s="10"/>
      <c r="BF138" s="10"/>
      <c r="BG138" s="10"/>
      <c r="BH138" s="30"/>
      <c r="BI138" s="10"/>
      <c r="BJ138" s="338"/>
      <c r="BK138" s="338"/>
      <c r="BL138" s="303"/>
      <c r="BM138" s="5"/>
      <c r="BN138" s="10"/>
      <c r="BO138" s="8"/>
      <c r="BP138" s="5"/>
      <c r="BQ138" s="10"/>
      <c r="BR138" s="29">
        <v>1992</v>
      </c>
      <c r="BS138" s="64">
        <v>1992</v>
      </c>
      <c r="BT138" s="14">
        <v>7</v>
      </c>
      <c r="BU138" s="10"/>
      <c r="BV138" s="8">
        <v>0</v>
      </c>
      <c r="BW138" s="10">
        <v>0</v>
      </c>
      <c r="BX138" s="59"/>
      <c r="BY138" s="59"/>
      <c r="BZ138" s="59"/>
      <c r="CA138" s="59"/>
      <c r="CB138" s="59"/>
      <c r="CC138" s="221"/>
      <c r="CD138" s="10">
        <v>4</v>
      </c>
      <c r="CE138" s="317"/>
      <c r="CF138" s="10">
        <v>0</v>
      </c>
      <c r="CG138" s="10">
        <v>0</v>
      </c>
      <c r="CH138" s="10"/>
      <c r="CI138" s="10">
        <v>1</v>
      </c>
      <c r="CJ138" s="10">
        <v>33</v>
      </c>
      <c r="CK138" s="10"/>
      <c r="CL138" s="10"/>
      <c r="CM138" s="10">
        <v>0</v>
      </c>
      <c r="CN138" s="10"/>
      <c r="CO138" s="10">
        <v>1</v>
      </c>
      <c r="CP138" s="317"/>
      <c r="CQ138" s="10"/>
      <c r="CR138" s="10"/>
      <c r="CS138" s="10">
        <v>0</v>
      </c>
      <c r="CT138" s="10">
        <v>12</v>
      </c>
      <c r="CU138" s="10">
        <v>1</v>
      </c>
      <c r="CV138" s="10">
        <v>0</v>
      </c>
      <c r="CW138" s="10"/>
      <c r="CX138" s="10"/>
      <c r="CY138" s="59">
        <v>0</v>
      </c>
      <c r="CZ138" s="59"/>
      <c r="DA138" s="59"/>
      <c r="DB138" s="10">
        <v>6</v>
      </c>
      <c r="DC138" s="10"/>
      <c r="DD138" s="10"/>
      <c r="DE138" s="10"/>
      <c r="DF138" s="10"/>
      <c r="DG138" s="10">
        <v>0</v>
      </c>
      <c r="DH138" s="10">
        <v>0</v>
      </c>
      <c r="DI138" s="10">
        <v>2</v>
      </c>
      <c r="DJ138" s="59">
        <v>0</v>
      </c>
      <c r="DK138" s="59"/>
      <c r="DL138" s="59"/>
      <c r="DM138" s="10">
        <v>1</v>
      </c>
      <c r="DN138" s="10"/>
      <c r="DO138" s="10">
        <v>3</v>
      </c>
      <c r="DP138" s="10"/>
      <c r="DQ138" s="10"/>
      <c r="DR138" s="10"/>
      <c r="DS138" s="59">
        <v>0</v>
      </c>
      <c r="DT138" s="10">
        <v>0</v>
      </c>
      <c r="DU138" s="10">
        <v>0</v>
      </c>
      <c r="DV138" s="38">
        <f t="shared" si="61"/>
        <v>64</v>
      </c>
      <c r="DW138" s="14" t="str">
        <f t="shared" si="62"/>
        <v/>
      </c>
    </row>
    <row r="139" spans="1:127" customFormat="1">
      <c r="A139" s="210">
        <v>33709</v>
      </c>
      <c r="B139" s="211"/>
      <c r="C139" s="8">
        <v>3</v>
      </c>
      <c r="D139" s="10">
        <v>21</v>
      </c>
      <c r="E139" s="10">
        <v>0</v>
      </c>
      <c r="F139" s="10">
        <v>0</v>
      </c>
      <c r="G139" s="10">
        <v>2</v>
      </c>
      <c r="H139" s="10">
        <v>0</v>
      </c>
      <c r="I139" s="10">
        <v>0</v>
      </c>
      <c r="J139" s="10">
        <v>0</v>
      </c>
      <c r="K139" s="59">
        <v>0</v>
      </c>
      <c r="L139" s="59">
        <v>0</v>
      </c>
      <c r="M139" s="59"/>
      <c r="N139" s="59"/>
      <c r="O139" s="10">
        <v>7</v>
      </c>
      <c r="P139" s="59">
        <v>0</v>
      </c>
      <c r="Q139" s="59">
        <v>0</v>
      </c>
      <c r="R139" s="10">
        <v>0</v>
      </c>
      <c r="S139" s="35">
        <f t="shared" si="60"/>
        <v>33</v>
      </c>
      <c r="T139" s="10"/>
      <c r="U139" s="10"/>
      <c r="V139" s="10"/>
      <c r="W139" s="10"/>
      <c r="X139" s="5"/>
      <c r="Y139" s="10"/>
      <c r="Z139" s="8"/>
      <c r="AA139" s="10">
        <v>814842</v>
      </c>
      <c r="AB139" s="10"/>
      <c r="AC139" s="8"/>
      <c r="AD139" s="10"/>
      <c r="AE139" s="35"/>
      <c r="AF139" s="10"/>
      <c r="AG139" s="8">
        <v>100</v>
      </c>
      <c r="AH139" s="59">
        <v>11</v>
      </c>
      <c r="AI139" s="10">
        <v>152</v>
      </c>
      <c r="AJ139" s="5">
        <v>20</v>
      </c>
      <c r="AK139" s="10"/>
      <c r="AL139" s="8"/>
      <c r="AM139" s="10"/>
      <c r="AN139" s="35"/>
      <c r="AO139" s="10"/>
      <c r="AP139" s="10"/>
      <c r="AQ139" s="35"/>
      <c r="AR139" s="59"/>
      <c r="AS139" s="59"/>
      <c r="AT139" s="59"/>
      <c r="AU139" s="59"/>
      <c r="AV139" s="62"/>
      <c r="AW139" s="10"/>
      <c r="AX139" s="326"/>
      <c r="AY139" s="5"/>
      <c r="AZ139" s="10"/>
      <c r="BA139" s="8"/>
      <c r="BB139" s="10"/>
      <c r="BC139" s="10"/>
      <c r="BD139" s="10"/>
      <c r="BE139" s="10"/>
      <c r="BF139" s="10"/>
      <c r="BG139" s="10"/>
      <c r="BH139" s="30"/>
      <c r="BI139" s="10"/>
      <c r="BJ139" s="338"/>
      <c r="BK139" s="338"/>
      <c r="BL139" s="303"/>
      <c r="BM139" s="5"/>
      <c r="BN139" s="10"/>
      <c r="BO139" s="8"/>
      <c r="BP139" s="5"/>
      <c r="BQ139" s="10"/>
      <c r="BR139" s="29">
        <v>1992</v>
      </c>
      <c r="BS139" s="64">
        <v>1992</v>
      </c>
      <c r="BT139" s="14">
        <v>8</v>
      </c>
      <c r="BU139" s="10"/>
      <c r="BV139" s="8">
        <v>0</v>
      </c>
      <c r="BW139" s="10">
        <v>1</v>
      </c>
      <c r="BX139" s="59"/>
      <c r="BY139" s="59"/>
      <c r="BZ139" s="59"/>
      <c r="CA139" s="59"/>
      <c r="CB139" s="59"/>
      <c r="CC139" s="221"/>
      <c r="CD139" s="10">
        <v>7</v>
      </c>
      <c r="CE139" s="317"/>
      <c r="CF139" s="10">
        <v>1</v>
      </c>
      <c r="CG139" s="10">
        <v>2</v>
      </c>
      <c r="CH139" s="10"/>
      <c r="CI139" s="10">
        <v>4</v>
      </c>
      <c r="CJ139" s="10">
        <v>1</v>
      </c>
      <c r="CK139" s="10"/>
      <c r="CL139" s="10"/>
      <c r="CM139" s="10">
        <v>0</v>
      </c>
      <c r="CN139" s="10"/>
      <c r="CO139" s="10">
        <v>1</v>
      </c>
      <c r="CP139" s="317"/>
      <c r="CQ139" s="10"/>
      <c r="CR139" s="10"/>
      <c r="CS139" s="10">
        <v>0</v>
      </c>
      <c r="CT139" s="10">
        <v>6</v>
      </c>
      <c r="CU139" s="10">
        <v>1</v>
      </c>
      <c r="CV139" s="10">
        <v>0</v>
      </c>
      <c r="CW139" s="10"/>
      <c r="CX139" s="10"/>
      <c r="CY139" s="59">
        <v>0</v>
      </c>
      <c r="CZ139" s="59"/>
      <c r="DA139" s="59"/>
      <c r="DB139" s="10">
        <v>3</v>
      </c>
      <c r="DC139" s="10"/>
      <c r="DD139" s="10"/>
      <c r="DE139" s="10"/>
      <c r="DF139" s="10"/>
      <c r="DG139" s="10">
        <v>1</v>
      </c>
      <c r="DH139" s="10">
        <v>1</v>
      </c>
      <c r="DI139" s="10">
        <v>0</v>
      </c>
      <c r="DJ139" s="59">
        <v>0</v>
      </c>
      <c r="DK139" s="59"/>
      <c r="DL139" s="59"/>
      <c r="DM139" s="10">
        <v>1</v>
      </c>
      <c r="DN139" s="10"/>
      <c r="DO139" s="10">
        <v>3</v>
      </c>
      <c r="DP139" s="10"/>
      <c r="DQ139" s="10"/>
      <c r="DR139" s="10"/>
      <c r="DS139" s="59">
        <v>0</v>
      </c>
      <c r="DT139" s="10">
        <v>0</v>
      </c>
      <c r="DU139" s="10">
        <v>0</v>
      </c>
      <c r="DV139" s="38">
        <f t="shared" si="61"/>
        <v>33</v>
      </c>
      <c r="DW139" s="14" t="str">
        <f t="shared" si="62"/>
        <v/>
      </c>
    </row>
    <row r="140" spans="1:127" customFormat="1">
      <c r="A140" s="210">
        <v>33725</v>
      </c>
      <c r="B140" s="211"/>
      <c r="C140" s="8">
        <v>2</v>
      </c>
      <c r="D140" s="10">
        <v>11</v>
      </c>
      <c r="E140" s="10">
        <v>1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59">
        <v>0</v>
      </c>
      <c r="L140" s="59">
        <v>0</v>
      </c>
      <c r="M140" s="59"/>
      <c r="N140" s="59"/>
      <c r="O140" s="10">
        <v>7</v>
      </c>
      <c r="P140" s="59">
        <v>0</v>
      </c>
      <c r="Q140" s="59">
        <v>0</v>
      </c>
      <c r="R140" s="10">
        <v>0</v>
      </c>
      <c r="S140" s="35">
        <f t="shared" si="60"/>
        <v>22</v>
      </c>
      <c r="T140" s="10"/>
      <c r="U140" s="10"/>
      <c r="V140" s="10"/>
      <c r="W140" s="10"/>
      <c r="X140" s="5"/>
      <c r="Y140" s="10"/>
      <c r="Z140" s="8"/>
      <c r="AA140" s="10">
        <v>303530</v>
      </c>
      <c r="AB140" s="10"/>
      <c r="AC140" s="8"/>
      <c r="AD140" s="10"/>
      <c r="AE140" s="35"/>
      <c r="AF140" s="10"/>
      <c r="AG140" s="8">
        <v>43</v>
      </c>
      <c r="AH140" s="59">
        <v>13</v>
      </c>
      <c r="AI140" s="10">
        <v>92</v>
      </c>
      <c r="AJ140" s="5">
        <v>16</v>
      </c>
      <c r="AK140" s="10"/>
      <c r="AL140" s="8"/>
      <c r="AM140" s="10"/>
      <c r="AN140" s="35"/>
      <c r="AO140" s="10"/>
      <c r="AP140" s="10"/>
      <c r="AQ140" s="35"/>
      <c r="AR140" s="59"/>
      <c r="AS140" s="59"/>
      <c r="AT140" s="59"/>
      <c r="AU140" s="59"/>
      <c r="AV140" s="62"/>
      <c r="AW140" s="10"/>
      <c r="AX140" s="326"/>
      <c r="AY140" s="5"/>
      <c r="AZ140" s="10"/>
      <c r="BA140" s="8">
        <v>1545</v>
      </c>
      <c r="BB140" s="10"/>
      <c r="BC140" s="10">
        <v>17532928</v>
      </c>
      <c r="BD140" s="10"/>
      <c r="BE140" s="10"/>
      <c r="BF140" s="10"/>
      <c r="BG140" s="10"/>
      <c r="BH140" s="30"/>
      <c r="BI140" s="10"/>
      <c r="BJ140" s="338"/>
      <c r="BK140" s="338"/>
      <c r="BL140" s="303"/>
      <c r="BM140" s="5"/>
      <c r="BN140" s="10"/>
      <c r="BO140" s="8"/>
      <c r="BP140" s="5"/>
      <c r="BQ140" s="10"/>
      <c r="BR140" s="29">
        <v>1992</v>
      </c>
      <c r="BS140" s="64">
        <v>1992</v>
      </c>
      <c r="BT140" s="14">
        <v>9</v>
      </c>
      <c r="BU140" s="10"/>
      <c r="BV140" s="8">
        <v>0</v>
      </c>
      <c r="BW140" s="10">
        <v>6</v>
      </c>
      <c r="BX140" s="59"/>
      <c r="BY140" s="59"/>
      <c r="BZ140" s="59"/>
      <c r="CA140" s="59"/>
      <c r="CB140" s="59"/>
      <c r="CC140" s="221"/>
      <c r="CD140" s="10">
        <v>5</v>
      </c>
      <c r="CE140" s="317"/>
      <c r="CF140" s="10">
        <v>0</v>
      </c>
      <c r="CG140" s="10">
        <v>0</v>
      </c>
      <c r="CH140" s="10"/>
      <c r="CI140" s="10">
        <v>3</v>
      </c>
      <c r="CJ140" s="10">
        <v>0</v>
      </c>
      <c r="CK140" s="10"/>
      <c r="CL140" s="10"/>
      <c r="CM140" s="10">
        <v>0</v>
      </c>
      <c r="CN140" s="10"/>
      <c r="CO140" s="10">
        <v>1</v>
      </c>
      <c r="CP140" s="317"/>
      <c r="CQ140" s="10"/>
      <c r="CR140" s="10"/>
      <c r="CS140" s="10">
        <v>1</v>
      </c>
      <c r="CT140" s="10">
        <v>0</v>
      </c>
      <c r="CU140" s="10">
        <v>2</v>
      </c>
      <c r="CV140" s="10">
        <v>0</v>
      </c>
      <c r="CW140" s="10"/>
      <c r="CX140" s="10"/>
      <c r="CY140" s="59">
        <v>0</v>
      </c>
      <c r="CZ140" s="59"/>
      <c r="DA140" s="59"/>
      <c r="DB140" s="10">
        <v>1</v>
      </c>
      <c r="DC140" s="10"/>
      <c r="DD140" s="10"/>
      <c r="DE140" s="10"/>
      <c r="DF140" s="10"/>
      <c r="DG140" s="10">
        <v>0</v>
      </c>
      <c r="DH140" s="10">
        <v>0</v>
      </c>
      <c r="DI140" s="10">
        <v>0</v>
      </c>
      <c r="DJ140" s="59">
        <v>0</v>
      </c>
      <c r="DK140" s="59"/>
      <c r="DL140" s="59"/>
      <c r="DM140" s="10">
        <v>0</v>
      </c>
      <c r="DN140" s="10"/>
      <c r="DO140" s="10">
        <v>3</v>
      </c>
      <c r="DP140" s="10"/>
      <c r="DQ140" s="10"/>
      <c r="DR140" s="10"/>
      <c r="DS140" s="59">
        <v>0</v>
      </c>
      <c r="DT140" s="10">
        <v>0</v>
      </c>
      <c r="DU140" s="10">
        <v>0</v>
      </c>
      <c r="DV140" s="38">
        <f t="shared" si="61"/>
        <v>22</v>
      </c>
      <c r="DW140" s="14" t="str">
        <f t="shared" si="62"/>
        <v/>
      </c>
    </row>
    <row r="141" spans="1:127" customFormat="1">
      <c r="A141" s="210">
        <v>33739</v>
      </c>
      <c r="B141" s="211"/>
      <c r="C141" s="8">
        <v>3</v>
      </c>
      <c r="D141" s="10">
        <v>21</v>
      </c>
      <c r="E141" s="10">
        <v>5</v>
      </c>
      <c r="F141" s="10">
        <v>2</v>
      </c>
      <c r="G141" s="10">
        <v>5</v>
      </c>
      <c r="H141" s="10">
        <v>1</v>
      </c>
      <c r="I141" s="10">
        <v>0</v>
      </c>
      <c r="J141" s="10">
        <v>0</v>
      </c>
      <c r="K141" s="59">
        <v>0</v>
      </c>
      <c r="L141" s="59">
        <v>0</v>
      </c>
      <c r="M141" s="59"/>
      <c r="N141" s="59"/>
      <c r="O141" s="10">
        <v>6</v>
      </c>
      <c r="P141" s="59">
        <v>0</v>
      </c>
      <c r="Q141" s="59">
        <v>0</v>
      </c>
      <c r="R141" s="10">
        <v>0</v>
      </c>
      <c r="S141" s="35">
        <f t="shared" si="60"/>
        <v>43</v>
      </c>
      <c r="T141" s="10"/>
      <c r="U141" s="10"/>
      <c r="V141" s="10"/>
      <c r="W141" s="10"/>
      <c r="X141" s="5"/>
      <c r="Y141" s="10"/>
      <c r="Z141" s="8"/>
      <c r="AA141" s="10">
        <v>1211926</v>
      </c>
      <c r="AB141" s="10"/>
      <c r="AC141" s="8"/>
      <c r="AD141" s="10"/>
      <c r="AE141" s="35"/>
      <c r="AF141" s="10"/>
      <c r="AG141" s="8">
        <v>108</v>
      </c>
      <c r="AH141" s="59">
        <v>9</v>
      </c>
      <c r="AI141" s="10">
        <v>156</v>
      </c>
      <c r="AJ141" s="5">
        <v>24</v>
      </c>
      <c r="AK141" s="10"/>
      <c r="AL141" s="8"/>
      <c r="AM141" s="10"/>
      <c r="AN141" s="35"/>
      <c r="AO141" s="10"/>
      <c r="AP141" s="10"/>
      <c r="AQ141" s="35"/>
      <c r="AR141" s="59"/>
      <c r="AS141" s="59"/>
      <c r="AT141" s="59"/>
      <c r="AU141" s="59"/>
      <c r="AV141" s="62"/>
      <c r="AW141" s="10"/>
      <c r="AX141" s="326"/>
      <c r="AY141" s="5"/>
      <c r="AZ141" s="10"/>
      <c r="BA141" s="8"/>
      <c r="BB141" s="10"/>
      <c r="BC141" s="10"/>
      <c r="BD141" s="10"/>
      <c r="BE141" s="10"/>
      <c r="BF141" s="10"/>
      <c r="BG141" s="10"/>
      <c r="BH141" s="30"/>
      <c r="BI141" s="10"/>
      <c r="BJ141" s="338"/>
      <c r="BK141" s="338"/>
      <c r="BL141" s="303"/>
      <c r="BM141" s="5"/>
      <c r="BN141" s="10"/>
      <c r="BO141" s="8"/>
      <c r="BP141" s="5"/>
      <c r="BQ141" s="10"/>
      <c r="BR141" s="29">
        <v>1992</v>
      </c>
      <c r="BS141" s="64">
        <v>1992</v>
      </c>
      <c r="BT141" s="14">
        <v>10</v>
      </c>
      <c r="BU141" s="10"/>
      <c r="BV141" s="8">
        <v>0</v>
      </c>
      <c r="BW141" s="10">
        <v>1</v>
      </c>
      <c r="BX141" s="59"/>
      <c r="BY141" s="59"/>
      <c r="BZ141" s="59"/>
      <c r="CA141" s="59"/>
      <c r="CB141" s="59"/>
      <c r="CC141" s="221"/>
      <c r="CD141" s="10">
        <v>4</v>
      </c>
      <c r="CE141" s="317"/>
      <c r="CF141" s="10">
        <v>0</v>
      </c>
      <c r="CG141" s="10">
        <v>0</v>
      </c>
      <c r="CH141" s="10"/>
      <c r="CI141" s="10">
        <v>2</v>
      </c>
      <c r="CJ141" s="10">
        <v>7</v>
      </c>
      <c r="CK141" s="10"/>
      <c r="CL141" s="10"/>
      <c r="CM141" s="10">
        <v>0</v>
      </c>
      <c r="CN141" s="10"/>
      <c r="CO141" s="10">
        <v>0</v>
      </c>
      <c r="CP141" s="317"/>
      <c r="CQ141" s="10"/>
      <c r="CR141" s="10"/>
      <c r="CS141" s="10">
        <v>0</v>
      </c>
      <c r="CT141" s="10">
        <v>2</v>
      </c>
      <c r="CU141" s="10">
        <v>0</v>
      </c>
      <c r="CV141" s="10">
        <v>1</v>
      </c>
      <c r="CW141" s="10"/>
      <c r="CX141" s="10"/>
      <c r="CY141" s="59">
        <v>0</v>
      </c>
      <c r="CZ141" s="59"/>
      <c r="DA141" s="59"/>
      <c r="DB141" s="10">
        <v>8</v>
      </c>
      <c r="DC141" s="10"/>
      <c r="DD141" s="10"/>
      <c r="DE141" s="10"/>
      <c r="DF141" s="10"/>
      <c r="DG141" s="10">
        <v>7</v>
      </c>
      <c r="DH141" s="10">
        <v>0</v>
      </c>
      <c r="DI141" s="10">
        <v>0</v>
      </c>
      <c r="DJ141" s="59">
        <v>0</v>
      </c>
      <c r="DK141" s="59"/>
      <c r="DL141" s="59"/>
      <c r="DM141" s="10">
        <v>6</v>
      </c>
      <c r="DN141" s="10"/>
      <c r="DO141" s="10">
        <v>3</v>
      </c>
      <c r="DP141" s="10"/>
      <c r="DQ141" s="10"/>
      <c r="DR141" s="10"/>
      <c r="DS141" s="59">
        <v>0</v>
      </c>
      <c r="DT141" s="10">
        <v>2</v>
      </c>
      <c r="DU141" s="10">
        <v>0</v>
      </c>
      <c r="DV141" s="38">
        <f t="shared" si="61"/>
        <v>43</v>
      </c>
      <c r="DW141" s="14" t="str">
        <f t="shared" si="62"/>
        <v/>
      </c>
    </row>
    <row r="142" spans="1:127" customFormat="1">
      <c r="A142" s="210">
        <v>33756</v>
      </c>
      <c r="B142" s="211"/>
      <c r="C142" s="8">
        <v>12</v>
      </c>
      <c r="D142" s="10">
        <v>56</v>
      </c>
      <c r="E142" s="10">
        <v>8</v>
      </c>
      <c r="F142" s="10">
        <v>0</v>
      </c>
      <c r="G142" s="10">
        <v>1</v>
      </c>
      <c r="H142" s="10">
        <v>3</v>
      </c>
      <c r="I142" s="10">
        <v>0</v>
      </c>
      <c r="J142" s="10">
        <v>9</v>
      </c>
      <c r="K142" s="59">
        <v>0</v>
      </c>
      <c r="L142" s="59">
        <v>0</v>
      </c>
      <c r="M142" s="59"/>
      <c r="N142" s="59"/>
      <c r="O142" s="10">
        <v>18</v>
      </c>
      <c r="P142" s="59">
        <v>0</v>
      </c>
      <c r="Q142" s="59">
        <v>0</v>
      </c>
      <c r="R142" s="10">
        <v>0</v>
      </c>
      <c r="S142" s="35">
        <f t="shared" si="60"/>
        <v>107</v>
      </c>
      <c r="T142" s="10"/>
      <c r="U142" s="10"/>
      <c r="V142" s="10"/>
      <c r="W142" s="10"/>
      <c r="X142" s="5"/>
      <c r="Y142" s="10"/>
      <c r="Z142" s="8"/>
      <c r="AA142" s="10">
        <v>1518528</v>
      </c>
      <c r="AB142" s="10"/>
      <c r="AC142" s="8"/>
      <c r="AD142" s="10"/>
      <c r="AE142" s="35"/>
      <c r="AF142" s="10"/>
      <c r="AG142" s="8">
        <v>130</v>
      </c>
      <c r="AH142" s="59">
        <v>1</v>
      </c>
      <c r="AI142" s="10">
        <v>158</v>
      </c>
      <c r="AJ142" s="5">
        <v>28</v>
      </c>
      <c r="AK142" s="10"/>
      <c r="AL142" s="8"/>
      <c r="AM142" s="10"/>
      <c r="AN142" s="35"/>
      <c r="AO142" s="10"/>
      <c r="AP142" s="10"/>
      <c r="AQ142" s="35"/>
      <c r="AR142" s="59"/>
      <c r="AS142" s="59"/>
      <c r="AT142" s="59"/>
      <c r="AU142" s="59"/>
      <c r="AV142" s="62"/>
      <c r="AW142" s="10"/>
      <c r="AX142" s="326"/>
      <c r="AY142" s="5"/>
      <c r="AZ142" s="10"/>
      <c r="BA142" s="8"/>
      <c r="BB142" s="10"/>
      <c r="BC142" s="10"/>
      <c r="BD142" s="10"/>
      <c r="BE142" s="10"/>
      <c r="BF142" s="10"/>
      <c r="BG142" s="10"/>
      <c r="BH142" s="30"/>
      <c r="BI142" s="10"/>
      <c r="BJ142" s="338"/>
      <c r="BK142" s="338"/>
      <c r="BL142" s="303"/>
      <c r="BM142" s="5"/>
      <c r="BN142" s="10"/>
      <c r="BO142" s="8"/>
      <c r="BP142" s="5"/>
      <c r="BQ142" s="10"/>
      <c r="BR142" s="29">
        <v>1992</v>
      </c>
      <c r="BS142" s="64">
        <v>1992</v>
      </c>
      <c r="BT142" s="14">
        <v>11</v>
      </c>
      <c r="BU142" s="10"/>
      <c r="BV142" s="8">
        <v>3</v>
      </c>
      <c r="BW142" s="10">
        <v>1</v>
      </c>
      <c r="BX142" s="59"/>
      <c r="BY142" s="59"/>
      <c r="BZ142" s="59"/>
      <c r="CA142" s="59"/>
      <c r="CB142" s="59"/>
      <c r="CC142" s="221"/>
      <c r="CD142" s="10">
        <v>5</v>
      </c>
      <c r="CE142" s="317"/>
      <c r="CF142" s="10">
        <v>1</v>
      </c>
      <c r="CG142" s="10">
        <v>1</v>
      </c>
      <c r="CH142" s="10"/>
      <c r="CI142" s="10">
        <v>2</v>
      </c>
      <c r="CJ142" s="10">
        <v>0</v>
      </c>
      <c r="CK142" s="10"/>
      <c r="CL142" s="10"/>
      <c r="CM142" s="10">
        <v>0</v>
      </c>
      <c r="CN142" s="10"/>
      <c r="CO142" s="10">
        <v>2</v>
      </c>
      <c r="CP142" s="317"/>
      <c r="CQ142" s="10"/>
      <c r="CR142" s="10"/>
      <c r="CS142" s="10">
        <v>12</v>
      </c>
      <c r="CT142" s="10">
        <v>46</v>
      </c>
      <c r="CU142" s="10">
        <v>0</v>
      </c>
      <c r="CV142" s="10">
        <v>12</v>
      </c>
      <c r="CW142" s="10"/>
      <c r="CX142" s="10"/>
      <c r="CY142" s="59">
        <v>0</v>
      </c>
      <c r="CZ142" s="59"/>
      <c r="DA142" s="59"/>
      <c r="DB142" s="10">
        <v>12</v>
      </c>
      <c r="DC142" s="10"/>
      <c r="DD142" s="10"/>
      <c r="DE142" s="10"/>
      <c r="DF142" s="10"/>
      <c r="DG142" s="10">
        <v>1</v>
      </c>
      <c r="DH142" s="10">
        <v>2</v>
      </c>
      <c r="DI142" s="10">
        <v>0</v>
      </c>
      <c r="DJ142" s="59">
        <v>0</v>
      </c>
      <c r="DK142" s="59"/>
      <c r="DL142" s="59"/>
      <c r="DM142" s="10">
        <v>2</v>
      </c>
      <c r="DN142" s="10"/>
      <c r="DO142" s="10">
        <v>1</v>
      </c>
      <c r="DP142" s="10"/>
      <c r="DQ142" s="10"/>
      <c r="DR142" s="10"/>
      <c r="DS142" s="59">
        <v>0</v>
      </c>
      <c r="DT142" s="10">
        <v>4</v>
      </c>
      <c r="DU142" s="10">
        <v>0</v>
      </c>
      <c r="DV142" s="38">
        <f t="shared" si="61"/>
        <v>107</v>
      </c>
      <c r="DW142" s="14" t="str">
        <f t="shared" si="62"/>
        <v/>
      </c>
    </row>
    <row r="143" spans="1:127" customFormat="1">
      <c r="A143" s="210">
        <v>33770</v>
      </c>
      <c r="B143" s="211"/>
      <c r="C143" s="8">
        <v>10</v>
      </c>
      <c r="D143" s="10">
        <v>27</v>
      </c>
      <c r="E143" s="10">
        <v>12</v>
      </c>
      <c r="F143" s="10">
        <v>1</v>
      </c>
      <c r="G143" s="10">
        <v>2</v>
      </c>
      <c r="H143" s="10">
        <v>2</v>
      </c>
      <c r="I143" s="10">
        <v>0</v>
      </c>
      <c r="J143" s="10">
        <v>14</v>
      </c>
      <c r="K143" s="59">
        <v>0</v>
      </c>
      <c r="L143" s="59">
        <v>0</v>
      </c>
      <c r="M143" s="59"/>
      <c r="N143" s="59"/>
      <c r="O143" s="10">
        <v>17</v>
      </c>
      <c r="P143" s="59">
        <v>0</v>
      </c>
      <c r="Q143" s="59">
        <v>0</v>
      </c>
      <c r="R143" s="10">
        <v>0</v>
      </c>
      <c r="S143" s="35">
        <f t="shared" si="60"/>
        <v>85</v>
      </c>
      <c r="T143" s="10"/>
      <c r="U143" s="10"/>
      <c r="V143" s="10"/>
      <c r="W143" s="10"/>
      <c r="X143" s="5"/>
      <c r="Y143" s="10"/>
      <c r="Z143" s="8"/>
      <c r="AA143" s="10">
        <v>1913922</v>
      </c>
      <c r="AB143" s="10"/>
      <c r="AC143" s="8"/>
      <c r="AD143" s="10"/>
      <c r="AE143" s="35"/>
      <c r="AF143" s="10"/>
      <c r="AG143" s="8">
        <v>132</v>
      </c>
      <c r="AH143" s="59">
        <v>1</v>
      </c>
      <c r="AI143" s="10">
        <v>158</v>
      </c>
      <c r="AJ143" s="5">
        <v>28</v>
      </c>
      <c r="AK143" s="10"/>
      <c r="AL143" s="8"/>
      <c r="AM143" s="10"/>
      <c r="AN143" s="35"/>
      <c r="AO143" s="10"/>
      <c r="AP143" s="10"/>
      <c r="AQ143" s="35"/>
      <c r="AR143" s="59"/>
      <c r="AS143" s="59"/>
      <c r="AT143" s="59"/>
      <c r="AU143" s="59"/>
      <c r="AV143" s="62"/>
      <c r="AW143" s="10"/>
      <c r="AX143" s="326"/>
      <c r="AY143" s="5"/>
      <c r="AZ143" s="10"/>
      <c r="BA143" s="8"/>
      <c r="BB143" s="10"/>
      <c r="BC143" s="10"/>
      <c r="BD143" s="10"/>
      <c r="BE143" s="10"/>
      <c r="BF143" s="10"/>
      <c r="BG143" s="10"/>
      <c r="BH143" s="30"/>
      <c r="BI143" s="10"/>
      <c r="BJ143" s="338"/>
      <c r="BK143" s="338"/>
      <c r="BL143" s="303"/>
      <c r="BM143" s="5"/>
      <c r="BN143" s="10"/>
      <c r="BO143" s="8"/>
      <c r="BP143" s="5"/>
      <c r="BQ143" s="10"/>
      <c r="BR143" s="29">
        <v>1992</v>
      </c>
      <c r="BS143" s="64">
        <v>1992</v>
      </c>
      <c r="BT143" s="14">
        <v>12</v>
      </c>
      <c r="BU143" s="10"/>
      <c r="BV143" s="8">
        <v>1</v>
      </c>
      <c r="BW143" s="10">
        <v>1</v>
      </c>
      <c r="BX143" s="59"/>
      <c r="BY143" s="59"/>
      <c r="BZ143" s="59"/>
      <c r="CA143" s="59"/>
      <c r="CB143" s="59"/>
      <c r="CC143" s="221"/>
      <c r="CD143" s="10">
        <v>3</v>
      </c>
      <c r="CE143" s="317"/>
      <c r="CF143" s="10">
        <v>5</v>
      </c>
      <c r="CG143" s="10">
        <v>0</v>
      </c>
      <c r="CH143" s="10"/>
      <c r="CI143" s="10">
        <v>5</v>
      </c>
      <c r="CJ143" s="10">
        <v>23</v>
      </c>
      <c r="CK143" s="10"/>
      <c r="CL143" s="10"/>
      <c r="CM143" s="10">
        <v>0</v>
      </c>
      <c r="CN143" s="10"/>
      <c r="CO143" s="10">
        <v>0</v>
      </c>
      <c r="CP143" s="317"/>
      <c r="CQ143" s="10"/>
      <c r="CR143" s="10"/>
      <c r="CS143" s="10">
        <v>0</v>
      </c>
      <c r="CT143" s="10">
        <v>14</v>
      </c>
      <c r="CU143" s="10">
        <v>3</v>
      </c>
      <c r="CV143" s="10">
        <v>1</v>
      </c>
      <c r="CW143" s="10"/>
      <c r="CX143" s="10"/>
      <c r="CY143" s="59">
        <v>0</v>
      </c>
      <c r="CZ143" s="59"/>
      <c r="DA143" s="59"/>
      <c r="DB143" s="10">
        <v>11</v>
      </c>
      <c r="DC143" s="10"/>
      <c r="DD143" s="10"/>
      <c r="DE143" s="10"/>
      <c r="DF143" s="10"/>
      <c r="DG143" s="10">
        <v>7</v>
      </c>
      <c r="DH143" s="10">
        <v>0</v>
      </c>
      <c r="DI143" s="10">
        <v>4</v>
      </c>
      <c r="DJ143" s="59">
        <v>0</v>
      </c>
      <c r="DK143" s="59"/>
      <c r="DL143" s="59"/>
      <c r="DM143" s="10">
        <v>0</v>
      </c>
      <c r="DN143" s="10"/>
      <c r="DO143" s="10">
        <v>3</v>
      </c>
      <c r="DP143" s="10"/>
      <c r="DQ143" s="10"/>
      <c r="DR143" s="10"/>
      <c r="DS143" s="59">
        <v>0</v>
      </c>
      <c r="DT143" s="10">
        <v>4</v>
      </c>
      <c r="DU143" s="10">
        <v>0</v>
      </c>
      <c r="DV143" s="38">
        <f t="shared" si="61"/>
        <v>85</v>
      </c>
      <c r="DW143" s="14" t="str">
        <f t="shared" si="62"/>
        <v/>
      </c>
    </row>
    <row r="144" spans="1:127" s="6" customFormat="1" ht="12" thickBot="1">
      <c r="A144" s="212" t="s">
        <v>75</v>
      </c>
      <c r="B144" s="83"/>
      <c r="C144" s="52">
        <f t="shared" ref="C144:X144" si="63">SUM(C120:C143)</f>
        <v>100</v>
      </c>
      <c r="D144" s="53">
        <f t="shared" si="63"/>
        <v>481</v>
      </c>
      <c r="E144" s="53">
        <f t="shared" si="63"/>
        <v>108</v>
      </c>
      <c r="F144" s="53">
        <f t="shared" si="63"/>
        <v>11</v>
      </c>
      <c r="G144" s="53">
        <f t="shared" si="63"/>
        <v>55</v>
      </c>
      <c r="H144" s="53">
        <f t="shared" si="63"/>
        <v>41</v>
      </c>
      <c r="I144" s="53">
        <f>SUM(I120:I143)</f>
        <v>0</v>
      </c>
      <c r="J144" s="53">
        <f t="shared" si="63"/>
        <v>56</v>
      </c>
      <c r="K144" s="53">
        <f t="shared" si="63"/>
        <v>0</v>
      </c>
      <c r="L144" s="53">
        <f t="shared" si="63"/>
        <v>0</v>
      </c>
      <c r="M144" s="53"/>
      <c r="N144" s="53"/>
      <c r="O144" s="53">
        <f>SUM(O120:O143)</f>
        <v>306</v>
      </c>
      <c r="P144" s="53">
        <f t="shared" si="63"/>
        <v>0</v>
      </c>
      <c r="Q144" s="53">
        <f t="shared" si="63"/>
        <v>0</v>
      </c>
      <c r="R144" s="53">
        <f t="shared" si="63"/>
        <v>0</v>
      </c>
      <c r="S144" s="55">
        <f t="shared" si="63"/>
        <v>1158</v>
      </c>
      <c r="T144" s="53">
        <f t="shared" si="63"/>
        <v>0</v>
      </c>
      <c r="U144" s="53">
        <f t="shared" si="63"/>
        <v>0</v>
      </c>
      <c r="V144" s="53">
        <f t="shared" ref="V144" si="64">SUM(V120:V143)</f>
        <v>0</v>
      </c>
      <c r="W144" s="53">
        <f t="shared" si="63"/>
        <v>0</v>
      </c>
      <c r="X144" s="54">
        <f t="shared" si="63"/>
        <v>0</v>
      </c>
      <c r="Z144" s="52">
        <f>SUM(Z120:Z143)</f>
        <v>0</v>
      </c>
      <c r="AA144" s="53">
        <f>SUM(AA120:AA143)</f>
        <v>25629317</v>
      </c>
      <c r="AB144" s="53"/>
      <c r="AC144" s="52">
        <f>SUM(AC120:AC143)</f>
        <v>0</v>
      </c>
      <c r="AD144" s="53">
        <f>SUM(AD120:AD143)</f>
        <v>0</v>
      </c>
      <c r="AE144" s="55">
        <f>SUM(AE120:AE143)</f>
        <v>0</v>
      </c>
      <c r="AG144" s="52">
        <f>SUM(AG120:AG143)</f>
        <v>2112</v>
      </c>
      <c r="AH144" s="53">
        <f>SUM(AH120:AH143)</f>
        <v>256</v>
      </c>
      <c r="AI144" s="53">
        <f>SUM(AI120:AI143)</f>
        <v>3367</v>
      </c>
      <c r="AJ144" s="54">
        <f>SUM(AJ120:AJ143)</f>
        <v>496</v>
      </c>
      <c r="AL144" s="52">
        <f t="shared" ref="AL144:AV144" si="65">SUM(AL120:AL143)</f>
        <v>0</v>
      </c>
      <c r="AM144" s="53">
        <f t="shared" si="65"/>
        <v>0</v>
      </c>
      <c r="AN144" s="55">
        <f t="shared" si="65"/>
        <v>0</v>
      </c>
      <c r="AO144" s="53">
        <f t="shared" si="65"/>
        <v>0</v>
      </c>
      <c r="AP144" s="53">
        <f t="shared" si="65"/>
        <v>0</v>
      </c>
      <c r="AQ144" s="55">
        <f t="shared" si="65"/>
        <v>0</v>
      </c>
      <c r="AR144" s="53">
        <f t="shared" si="65"/>
        <v>0</v>
      </c>
      <c r="AS144" s="53">
        <f t="shared" si="65"/>
        <v>0</v>
      </c>
      <c r="AT144" s="53">
        <f t="shared" si="65"/>
        <v>0</v>
      </c>
      <c r="AU144" s="53">
        <f t="shared" si="65"/>
        <v>0</v>
      </c>
      <c r="AV144" s="54">
        <f t="shared" si="65"/>
        <v>0</v>
      </c>
      <c r="AX144" s="329"/>
      <c r="AY144" s="54"/>
      <c r="BA144" s="52">
        <f t="shared" ref="BA144:BM144" si="66">SUM(BA120:BA143)</f>
        <v>9309</v>
      </c>
      <c r="BB144" s="53">
        <f t="shared" si="66"/>
        <v>0</v>
      </c>
      <c r="BC144" s="53">
        <f t="shared" ref="BC144:BL144" si="67">SUM(BC120:BC143)</f>
        <v>107249664</v>
      </c>
      <c r="BD144" s="53">
        <f t="shared" si="67"/>
        <v>0</v>
      </c>
      <c r="BE144" s="53">
        <f t="shared" si="67"/>
        <v>0</v>
      </c>
      <c r="BF144" s="53">
        <f t="shared" si="67"/>
        <v>0</v>
      </c>
      <c r="BG144" s="53">
        <f t="shared" si="67"/>
        <v>0</v>
      </c>
      <c r="BH144" s="55"/>
      <c r="BI144" s="53">
        <f t="shared" si="67"/>
        <v>0</v>
      </c>
      <c r="BJ144" s="339"/>
      <c r="BK144" s="339"/>
      <c r="BL144" s="53">
        <f t="shared" si="67"/>
        <v>0</v>
      </c>
      <c r="BM144" s="54">
        <f t="shared" si="66"/>
        <v>3494</v>
      </c>
      <c r="BO144" s="52">
        <f>SUM(BO120:BO143)</f>
        <v>0</v>
      </c>
      <c r="BP144" s="54">
        <f>SUM(BP120:BP143)</f>
        <v>0</v>
      </c>
      <c r="BR144" s="81" t="s">
        <v>76</v>
      </c>
      <c r="BS144" s="80"/>
      <c r="BT144" s="82"/>
      <c r="BV144" s="52">
        <f>SUM(BV120:BV143)</f>
        <v>5</v>
      </c>
      <c r="BW144" s="53">
        <f>SUM(BW120:BW143)</f>
        <v>60</v>
      </c>
      <c r="BX144" s="53">
        <f t="shared" ref="BX144:DU144" si="68">SUM(BX120:BX143)</f>
        <v>0</v>
      </c>
      <c r="BY144" s="53">
        <f t="shared" si="68"/>
        <v>0</v>
      </c>
      <c r="BZ144" s="53">
        <f t="shared" si="68"/>
        <v>0</v>
      </c>
      <c r="CA144" s="53">
        <f t="shared" si="68"/>
        <v>0</v>
      </c>
      <c r="CB144" s="53">
        <f t="shared" si="68"/>
        <v>0</v>
      </c>
      <c r="CC144" s="53">
        <f t="shared" si="68"/>
        <v>0</v>
      </c>
      <c r="CD144" s="53">
        <f t="shared" si="68"/>
        <v>49</v>
      </c>
      <c r="CE144" s="53">
        <f t="shared" si="68"/>
        <v>0</v>
      </c>
      <c r="CF144" s="53">
        <f t="shared" si="68"/>
        <v>17</v>
      </c>
      <c r="CG144" s="53">
        <f t="shared" si="68"/>
        <v>3</v>
      </c>
      <c r="CH144" s="53">
        <f t="shared" si="68"/>
        <v>0</v>
      </c>
      <c r="CI144" s="53">
        <f t="shared" si="68"/>
        <v>20</v>
      </c>
      <c r="CJ144" s="53">
        <f t="shared" si="68"/>
        <v>84</v>
      </c>
      <c r="CK144" s="53">
        <f t="shared" si="68"/>
        <v>0</v>
      </c>
      <c r="CL144" s="53">
        <f t="shared" si="68"/>
        <v>0</v>
      </c>
      <c r="CM144" s="53">
        <f t="shared" si="68"/>
        <v>1</v>
      </c>
      <c r="CN144" s="53">
        <f t="shared" si="68"/>
        <v>0</v>
      </c>
      <c r="CO144" s="53">
        <f t="shared" si="68"/>
        <v>30</v>
      </c>
      <c r="CP144" s="53">
        <f t="shared" si="68"/>
        <v>0</v>
      </c>
      <c r="CQ144" s="53">
        <f t="shared" si="68"/>
        <v>0</v>
      </c>
      <c r="CR144" s="53">
        <f t="shared" si="68"/>
        <v>0</v>
      </c>
      <c r="CS144" s="53">
        <f t="shared" si="68"/>
        <v>14</v>
      </c>
      <c r="CT144" s="53">
        <f t="shared" si="68"/>
        <v>137</v>
      </c>
      <c r="CU144" s="53">
        <f t="shared" si="68"/>
        <v>26</v>
      </c>
      <c r="CV144" s="53">
        <f t="shared" si="68"/>
        <v>17</v>
      </c>
      <c r="CW144" s="53">
        <f t="shared" si="68"/>
        <v>0</v>
      </c>
      <c r="CX144" s="53">
        <f t="shared" si="68"/>
        <v>0</v>
      </c>
      <c r="CY144" s="53">
        <f t="shared" si="68"/>
        <v>0</v>
      </c>
      <c r="CZ144" s="53">
        <f t="shared" si="68"/>
        <v>0</v>
      </c>
      <c r="DA144" s="53">
        <f t="shared" si="68"/>
        <v>0</v>
      </c>
      <c r="DB144" s="53">
        <f t="shared" si="68"/>
        <v>67</v>
      </c>
      <c r="DC144" s="53">
        <f t="shared" si="68"/>
        <v>0</v>
      </c>
      <c r="DD144" s="53">
        <f t="shared" si="68"/>
        <v>0</v>
      </c>
      <c r="DE144" s="53">
        <f t="shared" si="68"/>
        <v>0</v>
      </c>
      <c r="DF144" s="53">
        <f t="shared" si="68"/>
        <v>0</v>
      </c>
      <c r="DG144" s="53">
        <f t="shared" si="68"/>
        <v>18</v>
      </c>
      <c r="DH144" s="53">
        <f t="shared" si="68"/>
        <v>7</v>
      </c>
      <c r="DI144" s="53">
        <f t="shared" si="68"/>
        <v>7</v>
      </c>
      <c r="DJ144" s="53">
        <f t="shared" si="68"/>
        <v>0</v>
      </c>
      <c r="DK144" s="53">
        <f t="shared" si="68"/>
        <v>0</v>
      </c>
      <c r="DL144" s="53">
        <f t="shared" si="68"/>
        <v>0</v>
      </c>
      <c r="DM144" s="53">
        <f t="shared" si="68"/>
        <v>15</v>
      </c>
      <c r="DN144" s="53">
        <f t="shared" si="68"/>
        <v>0</v>
      </c>
      <c r="DO144" s="53">
        <f t="shared" si="68"/>
        <v>29</v>
      </c>
      <c r="DP144" s="53">
        <f t="shared" si="68"/>
        <v>0</v>
      </c>
      <c r="DQ144" s="53">
        <f t="shared" si="68"/>
        <v>0</v>
      </c>
      <c r="DR144" s="53">
        <f t="shared" si="68"/>
        <v>0</v>
      </c>
      <c r="DS144" s="53">
        <f t="shared" si="68"/>
        <v>0</v>
      </c>
      <c r="DT144" s="53">
        <f t="shared" si="68"/>
        <v>12</v>
      </c>
      <c r="DU144" s="53">
        <f t="shared" si="68"/>
        <v>0</v>
      </c>
      <c r="DV144" s="54">
        <f t="shared" si="61"/>
        <v>618</v>
      </c>
      <c r="DW144" s="48"/>
    </row>
    <row r="145" spans="1:127" s="6" customFormat="1" ht="12" thickTop="1">
      <c r="A145" s="213" t="s">
        <v>77</v>
      </c>
      <c r="B145" s="24"/>
      <c r="C145" s="39">
        <f t="shared" ref="C145:R145" si="69">ROUND(IF(ISERROR(AVERAGE(C120:C143)),0,AVERAGE(C120:C143)),0)</f>
        <v>4</v>
      </c>
      <c r="D145" s="24">
        <f t="shared" si="69"/>
        <v>20</v>
      </c>
      <c r="E145" s="24">
        <f t="shared" si="69"/>
        <v>5</v>
      </c>
      <c r="F145" s="24">
        <f t="shared" si="69"/>
        <v>0</v>
      </c>
      <c r="G145" s="24">
        <f t="shared" si="69"/>
        <v>2</v>
      </c>
      <c r="H145" s="24">
        <f t="shared" si="69"/>
        <v>2</v>
      </c>
      <c r="I145" s="24">
        <f>ROUND(IF(ISERROR(AVERAGE(I120:I143)),0,AVERAGE(I120:I143)),0)</f>
        <v>0</v>
      </c>
      <c r="J145" s="24">
        <f t="shared" si="69"/>
        <v>2</v>
      </c>
      <c r="K145" s="24">
        <f t="shared" si="69"/>
        <v>0</v>
      </c>
      <c r="L145" s="24">
        <f t="shared" si="69"/>
        <v>0</v>
      </c>
      <c r="M145" s="24"/>
      <c r="N145" s="24"/>
      <c r="O145" s="24">
        <f>ROUND(IF(ISERROR(AVERAGE(O120:O143)),0,AVERAGE(O120:O143)),0)</f>
        <v>13</v>
      </c>
      <c r="P145" s="24">
        <f t="shared" si="69"/>
        <v>0</v>
      </c>
      <c r="Q145" s="24">
        <f t="shared" si="69"/>
        <v>0</v>
      </c>
      <c r="R145" s="24">
        <f t="shared" si="69"/>
        <v>0</v>
      </c>
      <c r="S145" s="31">
        <f>SUM(C145:R145)</f>
        <v>48</v>
      </c>
      <c r="T145" s="24">
        <f>ROUND(IF(ISERROR(AVERAGE(T120:T143)),0,AVERAGE(T120:T143)),0)</f>
        <v>0</v>
      </c>
      <c r="U145" s="24">
        <f>ROUND(IF(ISERROR(AVERAGE(U120:U143)),0,AVERAGE(U120:U143)),0)</f>
        <v>0</v>
      </c>
      <c r="V145" s="24">
        <f>ROUND(IF(ISERROR(AVERAGE(V120:V143)),0,AVERAGE(V120:V143)),0)</f>
        <v>0</v>
      </c>
      <c r="W145" s="24">
        <f>ROUND(IF(ISERROR(AVERAGE(W120:W143)),0,AVERAGE(W120:W143)),0)</f>
        <v>0</v>
      </c>
      <c r="X145" s="40">
        <f>ROUND(IF(ISERROR(AVERAGE(X120:X143)),0,AVERAGE(X120:X143)),0)</f>
        <v>0</v>
      </c>
      <c r="Z145" s="39">
        <f>ROUND(IF(ISERROR(AVERAGE(Z120:Z143)),0,AVERAGE(Z120:Z143)),0)</f>
        <v>0</v>
      </c>
      <c r="AA145" s="24">
        <f>ROUND(IF(ISERROR(AVERAGE(AA120:AA143)),0,AVERAGE(AA120:AA143)),0)</f>
        <v>1114318</v>
      </c>
      <c r="AB145" s="24"/>
      <c r="AC145" s="39">
        <f>ROUND(IF(ISERROR(AVERAGE(AC120:AC143)),0,AVERAGE(AC120:AC143)),0)</f>
        <v>0</v>
      </c>
      <c r="AD145" s="24">
        <f>ROUND(IF(ISERROR(AVERAGE(AD120:AD143)),0,AVERAGE(AD120:AD143)),0)</f>
        <v>0</v>
      </c>
      <c r="AE145" s="31">
        <f>SUM(AC145:AD145)</f>
        <v>0</v>
      </c>
      <c r="AG145" s="39">
        <f>ROUND(IF(ISERROR(AVERAGE(AG120:AG143)),0,AVERAGE(AG120:AG143)),0)</f>
        <v>88</v>
      </c>
      <c r="AH145" s="24">
        <f>ROUND(IF(ISERROR(AVERAGE(AH120:AH143)),0,AVERAGE(AH120:AH143)),0)</f>
        <v>11</v>
      </c>
      <c r="AI145" s="24">
        <f>ROUND(IF(ISERROR(AVERAGE(AI120:AI143)),0,AVERAGE(AI120:AI143)),0)</f>
        <v>140</v>
      </c>
      <c r="AJ145" s="40">
        <f>ROUND(IF(ISERROR(AVERAGE(AJ120:AJ143)),0,AVERAGE(AJ120:AJ143)),0)</f>
        <v>21</v>
      </c>
      <c r="AL145" s="39">
        <f>ROUND(IF(ISERROR(AVERAGE(AL120:AL143)),0,AVERAGE(AL120:AL143)),0)</f>
        <v>0</v>
      </c>
      <c r="AM145" s="24">
        <f>ROUND(IF(ISERROR(AVERAGE(AM120:AM143)),0,AVERAGE(AM120:AM143)),0)</f>
        <v>0</v>
      </c>
      <c r="AN145" s="31">
        <f>SUM(AL145:AM145)</f>
        <v>0</v>
      </c>
      <c r="AO145" s="24">
        <f>ROUND(IF(ISERROR(AVERAGE(AO120:AO143)),0,AVERAGE(AO120:AO143)),0)</f>
        <v>0</v>
      </c>
      <c r="AP145" s="24">
        <f>ROUND(IF(ISERROR(AVERAGE(AP120:AP143)),0,AVERAGE(AP120:AP143)),0)</f>
        <v>0</v>
      </c>
      <c r="AQ145" s="31">
        <f>SUM(AO145:AP145)</f>
        <v>0</v>
      </c>
      <c r="AR145" s="24">
        <f>ROUND(IF(ISERROR(AVERAGE(AR120:AR143)),0,AVERAGE(AR120:AR143)),0)</f>
        <v>0</v>
      </c>
      <c r="AS145" s="24">
        <f>ROUND(IF(ISERROR(AVERAGE(AS120:AS143)),0,AVERAGE(AS120:AS143)),0)</f>
        <v>0</v>
      </c>
      <c r="AT145" s="24">
        <f>ROUND(IF(ISERROR(AVERAGE(AT120:AT143)),0,AVERAGE(AT120:AT143)),0)</f>
        <v>0</v>
      </c>
      <c r="AU145" s="24">
        <f>ROUND(IF(ISERROR(AVERAGE(AU120:AU143)),0,AVERAGE(AU120:AU143)),0)</f>
        <v>0</v>
      </c>
      <c r="AV145" s="40">
        <f>ROUND(IF(ISERROR(AVERAGE(AV120:AV143)),0,AVERAGE(AV120:AV143)),0)</f>
        <v>0</v>
      </c>
      <c r="AX145" s="330"/>
      <c r="AY145" s="40"/>
      <c r="BA145" s="39">
        <f t="shared" ref="BA145:BM145" si="70">ROUND(IF(ISERROR(AVERAGE(BA120:BA143)),0,AVERAGE(BA120:BA143)),0)</f>
        <v>1552</v>
      </c>
      <c r="BB145" s="24">
        <f t="shared" si="70"/>
        <v>0</v>
      </c>
      <c r="BC145" s="24">
        <f t="shared" ref="BC145:BL145" si="71">ROUND(IF(ISERROR(AVERAGE(BC120:BC143)),0,AVERAGE(BC120:BC143)),0)</f>
        <v>17874944</v>
      </c>
      <c r="BD145" s="24">
        <f t="shared" si="71"/>
        <v>0</v>
      </c>
      <c r="BE145" s="24">
        <f t="shared" si="71"/>
        <v>0</v>
      </c>
      <c r="BF145" s="24">
        <f t="shared" si="71"/>
        <v>0</v>
      </c>
      <c r="BG145" s="24">
        <f t="shared" si="71"/>
        <v>0</v>
      </c>
      <c r="BH145" s="31"/>
      <c r="BI145" s="24">
        <f t="shared" si="71"/>
        <v>0</v>
      </c>
      <c r="BJ145" s="340"/>
      <c r="BK145" s="340"/>
      <c r="BL145" s="24">
        <f t="shared" si="71"/>
        <v>0</v>
      </c>
      <c r="BM145" s="40">
        <f t="shared" si="70"/>
        <v>3494</v>
      </c>
      <c r="BO145" s="39">
        <f>ROUND(IF(ISERROR(AVERAGE(BO120:BO143)),0,AVERAGE(BO120:BO143)),0)</f>
        <v>0</v>
      </c>
      <c r="BP145" s="40">
        <f>ROUND(IF(ISERROR(AVERAGE(BP120:BP143)),0,AVERAGE(BP120:BP143)),0)</f>
        <v>0</v>
      </c>
      <c r="BR145" s="65" t="s">
        <v>78</v>
      </c>
      <c r="BS145" s="19"/>
      <c r="BT145" s="14"/>
      <c r="BV145" s="39">
        <f>ROUND(IF(ISERROR(AVERAGE(BV120:BV143)),0,AVERAGE(BV120:BV143)),0)</f>
        <v>0</v>
      </c>
      <c r="BW145" s="24">
        <f>ROUND(IF(ISERROR(AVERAGE(BW120:BW143)),0,AVERAGE(BW120:BW143)),0)</f>
        <v>5</v>
      </c>
      <c r="BX145" s="24">
        <f t="shared" ref="BX145:DU145" si="72">ROUND(IF(ISERROR(AVERAGE(BX120:BX143)),0,AVERAGE(BX120:BX143)),0)</f>
        <v>0</v>
      </c>
      <c r="BY145" s="24">
        <f t="shared" si="72"/>
        <v>0</v>
      </c>
      <c r="BZ145" s="24">
        <f t="shared" si="72"/>
        <v>0</v>
      </c>
      <c r="CA145" s="24">
        <f t="shared" si="72"/>
        <v>0</v>
      </c>
      <c r="CB145" s="24">
        <f t="shared" si="72"/>
        <v>0</v>
      </c>
      <c r="CC145" s="24">
        <f t="shared" si="72"/>
        <v>0</v>
      </c>
      <c r="CD145" s="24">
        <f t="shared" si="72"/>
        <v>4</v>
      </c>
      <c r="CE145" s="24">
        <f t="shared" si="72"/>
        <v>0</v>
      </c>
      <c r="CF145" s="24">
        <f t="shared" si="72"/>
        <v>1</v>
      </c>
      <c r="CG145" s="24">
        <f t="shared" si="72"/>
        <v>0</v>
      </c>
      <c r="CH145" s="24">
        <f t="shared" si="72"/>
        <v>0</v>
      </c>
      <c r="CI145" s="24">
        <f t="shared" si="72"/>
        <v>2</v>
      </c>
      <c r="CJ145" s="24">
        <f t="shared" si="72"/>
        <v>7</v>
      </c>
      <c r="CK145" s="24">
        <f t="shared" si="72"/>
        <v>0</v>
      </c>
      <c r="CL145" s="24">
        <f t="shared" si="72"/>
        <v>0</v>
      </c>
      <c r="CM145" s="24">
        <f t="shared" si="72"/>
        <v>0</v>
      </c>
      <c r="CN145" s="24">
        <f t="shared" si="72"/>
        <v>0</v>
      </c>
      <c r="CO145" s="24">
        <f t="shared" si="72"/>
        <v>3</v>
      </c>
      <c r="CP145" s="24">
        <f t="shared" si="72"/>
        <v>0</v>
      </c>
      <c r="CQ145" s="24">
        <f t="shared" si="72"/>
        <v>0</v>
      </c>
      <c r="CR145" s="24">
        <f t="shared" si="72"/>
        <v>0</v>
      </c>
      <c r="CS145" s="24">
        <f t="shared" si="72"/>
        <v>1</v>
      </c>
      <c r="CT145" s="24">
        <f t="shared" si="72"/>
        <v>11</v>
      </c>
      <c r="CU145" s="24">
        <f t="shared" si="72"/>
        <v>2</v>
      </c>
      <c r="CV145" s="24">
        <f t="shared" si="72"/>
        <v>1</v>
      </c>
      <c r="CW145" s="24">
        <f t="shared" si="72"/>
        <v>0</v>
      </c>
      <c r="CX145" s="24">
        <f t="shared" si="72"/>
        <v>0</v>
      </c>
      <c r="CY145" s="24">
        <f t="shared" si="72"/>
        <v>0</v>
      </c>
      <c r="CZ145" s="24">
        <f t="shared" si="72"/>
        <v>0</v>
      </c>
      <c r="DA145" s="24">
        <f t="shared" si="72"/>
        <v>0</v>
      </c>
      <c r="DB145" s="24">
        <f t="shared" si="72"/>
        <v>6</v>
      </c>
      <c r="DC145" s="24">
        <f t="shared" si="72"/>
        <v>0</v>
      </c>
      <c r="DD145" s="24">
        <f t="shared" si="72"/>
        <v>0</v>
      </c>
      <c r="DE145" s="24">
        <f t="shared" si="72"/>
        <v>0</v>
      </c>
      <c r="DF145" s="24">
        <f t="shared" si="72"/>
        <v>0</v>
      </c>
      <c r="DG145" s="24">
        <f t="shared" si="72"/>
        <v>2</v>
      </c>
      <c r="DH145" s="24">
        <f t="shared" si="72"/>
        <v>1</v>
      </c>
      <c r="DI145" s="24">
        <f t="shared" si="72"/>
        <v>1</v>
      </c>
      <c r="DJ145" s="24">
        <f t="shared" si="72"/>
        <v>0</v>
      </c>
      <c r="DK145" s="24">
        <f t="shared" si="72"/>
        <v>0</v>
      </c>
      <c r="DL145" s="24">
        <f t="shared" si="72"/>
        <v>0</v>
      </c>
      <c r="DM145" s="24">
        <f t="shared" si="72"/>
        <v>1</v>
      </c>
      <c r="DN145" s="24">
        <f t="shared" si="72"/>
        <v>0</v>
      </c>
      <c r="DO145" s="24">
        <f t="shared" si="72"/>
        <v>2</v>
      </c>
      <c r="DP145" s="24">
        <f t="shared" si="72"/>
        <v>0</v>
      </c>
      <c r="DQ145" s="24">
        <f t="shared" si="72"/>
        <v>0</v>
      </c>
      <c r="DR145" s="24">
        <f t="shared" si="72"/>
        <v>0</v>
      </c>
      <c r="DS145" s="24">
        <f t="shared" si="72"/>
        <v>0</v>
      </c>
      <c r="DT145" s="24">
        <f t="shared" si="72"/>
        <v>1</v>
      </c>
      <c r="DU145" s="24">
        <f t="shared" si="72"/>
        <v>0</v>
      </c>
      <c r="DV145" s="18"/>
      <c r="DW145" s="48"/>
    </row>
    <row r="146" spans="1:127" customFormat="1">
      <c r="A146" s="210" t="s">
        <v>79</v>
      </c>
      <c r="B146" s="211"/>
      <c r="C146" s="8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30">
        <f>MEDIAN(S120:S143)</f>
        <v>40.5</v>
      </c>
      <c r="T146" s="10"/>
      <c r="U146" s="10"/>
      <c r="V146" s="10"/>
      <c r="W146" s="10"/>
      <c r="X146" s="5"/>
      <c r="Y146" s="10"/>
      <c r="Z146" s="8"/>
      <c r="AA146" s="10">
        <f>IF(ISERROR(MEDIAN(AA120:AA143)),"",MEDIAN(AA120:AA143))</f>
        <v>892664</v>
      </c>
      <c r="AB146" s="10"/>
      <c r="AC146" s="8"/>
      <c r="AD146" s="10"/>
      <c r="AE146" s="30"/>
      <c r="AF146" s="10"/>
      <c r="AG146" s="8"/>
      <c r="AH146" s="10"/>
      <c r="AI146" s="10">
        <f>IF(ISERROR(MEDIAN(AI120:AI143)),"",MEDIAN(AI120:AI143))</f>
        <v>150</v>
      </c>
      <c r="AJ146" s="5">
        <f>IF(ISERROR(MEDIAN(AJ120:AJ143)),"",MEDIAN(AJ120:AJ143))</f>
        <v>20</v>
      </c>
      <c r="AK146" s="10"/>
      <c r="AL146" s="8"/>
      <c r="AM146" s="10"/>
      <c r="AN146" s="30"/>
      <c r="AO146" s="10"/>
      <c r="AP146" s="10"/>
      <c r="AQ146" s="30"/>
      <c r="AR146" s="10"/>
      <c r="AS146" s="10"/>
      <c r="AT146" s="10"/>
      <c r="AU146" s="10"/>
      <c r="AV146" s="5"/>
      <c r="AW146" s="10"/>
      <c r="AX146" s="326"/>
      <c r="AY146" s="5"/>
      <c r="AZ146" s="10"/>
      <c r="BA146" s="8">
        <f>IF(ISERROR(MEDIAN(BA120:BA143)),"",MEDIAN(BA120:BA143))</f>
        <v>1549.5</v>
      </c>
      <c r="BB146" s="10"/>
      <c r="BC146" s="10"/>
      <c r="BD146" s="10"/>
      <c r="BE146" s="10"/>
      <c r="BF146" s="10"/>
      <c r="BG146" s="10"/>
      <c r="BH146" s="30"/>
      <c r="BI146" s="10"/>
      <c r="BJ146" s="338"/>
      <c r="BK146" s="338"/>
      <c r="BL146" s="303"/>
      <c r="BM146" s="5"/>
      <c r="BN146" s="10"/>
      <c r="BO146" s="8"/>
      <c r="BP146" s="5"/>
      <c r="BQ146" s="10"/>
      <c r="BR146" s="65"/>
      <c r="BS146" s="19"/>
      <c r="BT146" s="14"/>
      <c r="BU146" s="10"/>
      <c r="BV146" s="8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5"/>
      <c r="DW146" s="21"/>
    </row>
    <row r="147" spans="1:127" customFormat="1" ht="12" thickBot="1">
      <c r="A147" s="214" t="s">
        <v>80</v>
      </c>
      <c r="B147" s="195"/>
      <c r="C147" s="4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32">
        <f>MODE(S120:S143)</f>
        <v>32</v>
      </c>
      <c r="T147" s="22"/>
      <c r="U147" s="22"/>
      <c r="V147" s="22"/>
      <c r="W147" s="22"/>
      <c r="X147" s="42"/>
      <c r="Y147" s="22"/>
      <c r="Z147" s="41"/>
      <c r="AA147" s="22"/>
      <c r="AB147" s="22"/>
      <c r="AC147" s="41"/>
      <c r="AD147" s="22"/>
      <c r="AE147" s="32"/>
      <c r="AF147" s="22"/>
      <c r="AG147" s="41"/>
      <c r="AH147" s="22"/>
      <c r="AI147" s="22">
        <f>IF(ISERROR(MODE(AI120:AI143)),"",MODE(AI120:AI143))</f>
        <v>156</v>
      </c>
      <c r="AJ147" s="42">
        <f>IF(ISERROR(MODE(AJ120:AJ143)),"",MODE(AJ120:AJ143))</f>
        <v>20</v>
      </c>
      <c r="AK147" s="22"/>
      <c r="AL147" s="41"/>
      <c r="AM147" s="22"/>
      <c r="AN147" s="32"/>
      <c r="AO147" s="22"/>
      <c r="AP147" s="22"/>
      <c r="AQ147" s="32"/>
      <c r="AR147" s="22"/>
      <c r="AS147" s="22"/>
      <c r="AT147" s="22"/>
      <c r="AU147" s="22"/>
      <c r="AV147" s="42"/>
      <c r="AW147" s="22"/>
      <c r="AX147" s="331"/>
      <c r="AY147" s="42"/>
      <c r="AZ147" s="22"/>
      <c r="BA147" s="41"/>
      <c r="BB147" s="22"/>
      <c r="BC147" s="22"/>
      <c r="BD147" s="22"/>
      <c r="BE147" s="22"/>
      <c r="BF147" s="22"/>
      <c r="BG147" s="22"/>
      <c r="BH147" s="32"/>
      <c r="BI147" s="22"/>
      <c r="BJ147" s="341"/>
      <c r="BK147" s="341"/>
      <c r="BL147" s="306"/>
      <c r="BM147" s="42"/>
      <c r="BN147" s="22"/>
      <c r="BO147" s="41"/>
      <c r="BP147" s="42"/>
      <c r="BQ147" s="22"/>
      <c r="BR147" s="66"/>
      <c r="BS147" s="51"/>
      <c r="BT147" s="67"/>
      <c r="BU147" s="22"/>
      <c r="BV147" s="41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42"/>
      <c r="DW147" s="23"/>
    </row>
    <row r="148" spans="1:127" customFormat="1" ht="12" thickBot="1">
      <c r="A148" s="194"/>
      <c r="B148" s="194"/>
      <c r="C148" s="8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30"/>
      <c r="T148" s="10"/>
      <c r="U148" s="10"/>
      <c r="V148" s="10"/>
      <c r="W148" s="10"/>
      <c r="X148" s="5"/>
      <c r="Z148" s="8"/>
      <c r="AA148" s="10"/>
      <c r="AB148" s="10"/>
      <c r="AC148" s="8"/>
      <c r="AD148" s="10"/>
      <c r="AE148" s="30"/>
      <c r="AG148" s="8"/>
      <c r="AH148" s="10"/>
      <c r="AI148" s="10"/>
      <c r="AJ148" s="5"/>
      <c r="AL148" s="8"/>
      <c r="AM148" s="10"/>
      <c r="AN148" s="30"/>
      <c r="AO148" s="10"/>
      <c r="AP148" s="10"/>
      <c r="AQ148" s="30"/>
      <c r="AR148" s="10"/>
      <c r="AS148" s="10"/>
      <c r="AT148" s="10"/>
      <c r="AU148" s="10"/>
      <c r="AV148" s="5"/>
      <c r="AX148" s="326"/>
      <c r="AY148" s="5"/>
      <c r="AZ148" s="324"/>
      <c r="BA148" s="8"/>
      <c r="BB148" s="10"/>
      <c r="BC148" s="10"/>
      <c r="BD148" s="10"/>
      <c r="BE148" s="10"/>
      <c r="BF148" s="10"/>
      <c r="BG148" s="10"/>
      <c r="BH148" s="30"/>
      <c r="BI148" s="10"/>
      <c r="BJ148" s="338"/>
      <c r="BK148" s="338"/>
      <c r="BL148" s="303"/>
      <c r="BM148" s="5"/>
      <c r="BO148" s="8"/>
      <c r="BP148" s="5"/>
      <c r="BR148" s="65"/>
      <c r="BS148" s="19"/>
      <c r="BT148" s="14"/>
      <c r="BV148" s="8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5"/>
    </row>
    <row r="149" spans="1:127" customFormat="1">
      <c r="A149" s="208">
        <v>33786</v>
      </c>
      <c r="B149" s="209"/>
      <c r="C149" s="36">
        <v>0</v>
      </c>
      <c r="D149" s="9">
        <v>7</v>
      </c>
      <c r="E149" s="9">
        <v>1</v>
      </c>
      <c r="F149" s="9">
        <v>0</v>
      </c>
      <c r="G149" s="9">
        <v>4</v>
      </c>
      <c r="H149" s="9">
        <v>2</v>
      </c>
      <c r="I149" s="9">
        <v>0</v>
      </c>
      <c r="J149" s="9">
        <v>15</v>
      </c>
      <c r="K149" s="9">
        <v>0</v>
      </c>
      <c r="L149" s="9">
        <v>0</v>
      </c>
      <c r="M149" s="9"/>
      <c r="N149" s="9"/>
      <c r="O149" s="9">
        <v>8</v>
      </c>
      <c r="P149" s="9">
        <v>0</v>
      </c>
      <c r="Q149" s="9">
        <v>0</v>
      </c>
      <c r="R149" s="9">
        <v>1</v>
      </c>
      <c r="S149" s="33">
        <f t="shared" ref="S149:S172" si="73">SUM(C149:R149)</f>
        <v>38</v>
      </c>
      <c r="T149" s="9"/>
      <c r="U149" s="9"/>
      <c r="V149" s="9"/>
      <c r="W149" s="9"/>
      <c r="X149" s="37"/>
      <c r="Y149" s="9"/>
      <c r="Z149" s="36"/>
      <c r="AA149" s="9">
        <v>488684</v>
      </c>
      <c r="AB149" s="9"/>
      <c r="AC149" s="36"/>
      <c r="AD149" s="9"/>
      <c r="AE149" s="33"/>
      <c r="AF149" s="9"/>
      <c r="AG149" s="36">
        <v>76</v>
      </c>
      <c r="AH149" s="9">
        <v>19</v>
      </c>
      <c r="AI149" s="9">
        <v>144</v>
      </c>
      <c r="AJ149" s="37">
        <v>20</v>
      </c>
      <c r="AK149" s="9"/>
      <c r="AL149" s="36"/>
      <c r="AM149" s="9"/>
      <c r="AN149" s="33"/>
      <c r="AO149" s="9"/>
      <c r="AP149" s="9"/>
      <c r="AQ149" s="33"/>
      <c r="AR149" s="92"/>
      <c r="AS149" s="92"/>
      <c r="AT149" s="92"/>
      <c r="AU149" s="92"/>
      <c r="AV149" s="93"/>
      <c r="AW149" s="9"/>
      <c r="AX149" s="325"/>
      <c r="AY149" s="37"/>
      <c r="AZ149" s="9"/>
      <c r="BA149" s="36">
        <v>1557</v>
      </c>
      <c r="BB149" s="9"/>
      <c r="BC149" s="9">
        <v>17561600</v>
      </c>
      <c r="BD149" s="9"/>
      <c r="BE149" s="9"/>
      <c r="BF149" s="9"/>
      <c r="BG149" s="9"/>
      <c r="BH149" s="350"/>
      <c r="BI149" s="9"/>
      <c r="BJ149" s="337"/>
      <c r="BK149" s="337"/>
      <c r="BL149" s="302"/>
      <c r="BM149" s="37"/>
      <c r="BN149" s="9"/>
      <c r="BO149" s="36"/>
      <c r="BP149" s="37"/>
      <c r="BQ149" s="9"/>
      <c r="BR149" s="74">
        <v>1993</v>
      </c>
      <c r="BS149" s="75">
        <v>1992</v>
      </c>
      <c r="BT149" s="13">
        <v>13</v>
      </c>
      <c r="BU149" s="9"/>
      <c r="BV149" s="36">
        <v>0</v>
      </c>
      <c r="BW149" s="9">
        <v>0</v>
      </c>
      <c r="BX149" s="9"/>
      <c r="BY149" s="9"/>
      <c r="BZ149" s="9"/>
      <c r="CA149" s="9"/>
      <c r="CB149" s="9"/>
      <c r="CC149" s="223"/>
      <c r="CD149" s="9">
        <v>3</v>
      </c>
      <c r="CE149" s="220"/>
      <c r="CF149" s="9">
        <v>1</v>
      </c>
      <c r="CG149" s="9">
        <v>0</v>
      </c>
      <c r="CH149" s="9"/>
      <c r="CI149" s="9">
        <v>2</v>
      </c>
      <c r="CJ149" s="9">
        <v>3</v>
      </c>
      <c r="CK149" s="9"/>
      <c r="CL149" s="9"/>
      <c r="CM149" s="9">
        <v>0</v>
      </c>
      <c r="CN149" s="9"/>
      <c r="CO149" s="9">
        <v>1</v>
      </c>
      <c r="CP149" s="220"/>
      <c r="CQ149" s="9"/>
      <c r="CR149" s="9"/>
      <c r="CS149" s="9">
        <v>0</v>
      </c>
      <c r="CT149" s="9">
        <v>5</v>
      </c>
      <c r="CU149" s="9">
        <v>14</v>
      </c>
      <c r="CV149" s="9">
        <v>0</v>
      </c>
      <c r="CW149" s="9"/>
      <c r="CX149" s="9"/>
      <c r="CY149" s="9">
        <v>0</v>
      </c>
      <c r="CZ149" s="9"/>
      <c r="DA149" s="9"/>
      <c r="DB149" s="9">
        <v>3</v>
      </c>
      <c r="DC149" s="9"/>
      <c r="DD149" s="9"/>
      <c r="DE149" s="9"/>
      <c r="DF149" s="9"/>
      <c r="DG149" s="9">
        <v>1</v>
      </c>
      <c r="DH149" s="9">
        <v>0</v>
      </c>
      <c r="DI149" s="9">
        <v>1</v>
      </c>
      <c r="DJ149" s="9">
        <v>0</v>
      </c>
      <c r="DK149" s="9"/>
      <c r="DL149" s="9"/>
      <c r="DM149" s="9">
        <v>0</v>
      </c>
      <c r="DN149" s="9"/>
      <c r="DO149" s="9">
        <v>0</v>
      </c>
      <c r="DP149" s="9"/>
      <c r="DQ149" s="9"/>
      <c r="DR149" s="9"/>
      <c r="DS149" s="9">
        <v>0</v>
      </c>
      <c r="DT149" s="9">
        <v>3</v>
      </c>
      <c r="DU149" s="9">
        <v>1</v>
      </c>
      <c r="DV149" s="44">
        <f t="shared" ref="DV149:DV173" si="74">SUM(BV149:DU149)</f>
        <v>38</v>
      </c>
      <c r="DW149" s="13" t="str">
        <f t="shared" ref="DW149:DW172" si="75">IF(DV149=S149,"","PROB")</f>
        <v/>
      </c>
    </row>
    <row r="150" spans="1:127" customFormat="1">
      <c r="A150" s="210">
        <v>33800</v>
      </c>
      <c r="B150" s="211"/>
      <c r="C150" s="8">
        <v>6</v>
      </c>
      <c r="D150" s="10">
        <v>21</v>
      </c>
      <c r="E150" s="10">
        <v>30</v>
      </c>
      <c r="F150" s="10">
        <v>0</v>
      </c>
      <c r="G150" s="10">
        <v>0</v>
      </c>
      <c r="H150" s="10">
        <v>1</v>
      </c>
      <c r="I150" s="10">
        <v>0</v>
      </c>
      <c r="J150" s="10">
        <v>45</v>
      </c>
      <c r="K150" s="59">
        <v>0</v>
      </c>
      <c r="L150" s="59">
        <v>0</v>
      </c>
      <c r="M150" s="59"/>
      <c r="N150" s="59"/>
      <c r="O150" s="10">
        <v>9</v>
      </c>
      <c r="P150" s="59">
        <v>0</v>
      </c>
      <c r="Q150" s="59">
        <v>0</v>
      </c>
      <c r="R150" s="10">
        <v>0</v>
      </c>
      <c r="S150" s="35">
        <f t="shared" si="73"/>
        <v>112</v>
      </c>
      <c r="T150" s="10"/>
      <c r="U150" s="10"/>
      <c r="V150" s="10"/>
      <c r="W150" s="10"/>
      <c r="X150" s="5"/>
      <c r="Y150" s="10"/>
      <c r="Z150" s="8"/>
      <c r="AA150" s="10">
        <v>1562216</v>
      </c>
      <c r="AB150" s="10"/>
      <c r="AC150" s="8"/>
      <c r="AD150" s="10"/>
      <c r="AE150" s="35"/>
      <c r="AF150" s="10"/>
      <c r="AG150" s="8">
        <v>119</v>
      </c>
      <c r="AH150" s="10">
        <v>1</v>
      </c>
      <c r="AI150" s="10">
        <v>154</v>
      </c>
      <c r="AJ150" s="5">
        <v>32</v>
      </c>
      <c r="AK150" s="10"/>
      <c r="AL150" s="8"/>
      <c r="AM150" s="10"/>
      <c r="AN150" s="35"/>
      <c r="AO150" s="10"/>
      <c r="AP150" s="10"/>
      <c r="AQ150" s="35"/>
      <c r="AR150" s="59"/>
      <c r="AS150" s="59"/>
      <c r="AT150" s="59"/>
      <c r="AU150" s="59"/>
      <c r="AV150" s="62"/>
      <c r="AW150" s="10"/>
      <c r="AX150" s="326"/>
      <c r="AY150" s="5"/>
      <c r="AZ150" s="10"/>
      <c r="BA150" s="8"/>
      <c r="BB150" s="10"/>
      <c r="BC150" s="10"/>
      <c r="BD150" s="10"/>
      <c r="BE150" s="10"/>
      <c r="BF150" s="10"/>
      <c r="BG150" s="10"/>
      <c r="BH150" s="30"/>
      <c r="BI150" s="10"/>
      <c r="BJ150" s="338"/>
      <c r="BK150" s="338"/>
      <c r="BL150" s="303"/>
      <c r="BM150" s="5"/>
      <c r="BN150" s="10"/>
      <c r="BO150" s="8"/>
      <c r="BP150" s="5"/>
      <c r="BQ150" s="10"/>
      <c r="BR150" s="29">
        <v>1993</v>
      </c>
      <c r="BS150" s="64">
        <v>1992</v>
      </c>
      <c r="BT150" s="14">
        <v>14</v>
      </c>
      <c r="BU150" s="10"/>
      <c r="BV150" s="8">
        <v>0</v>
      </c>
      <c r="BW150" s="10">
        <v>0</v>
      </c>
      <c r="BX150" s="59"/>
      <c r="BY150" s="59"/>
      <c r="BZ150" s="59"/>
      <c r="CA150" s="59"/>
      <c r="CB150" s="59"/>
      <c r="CC150" s="221"/>
      <c r="CD150" s="10">
        <v>6</v>
      </c>
      <c r="CE150" s="317"/>
      <c r="CF150" s="10">
        <v>0</v>
      </c>
      <c r="CG150" s="10">
        <v>2</v>
      </c>
      <c r="CH150" s="10"/>
      <c r="CI150" s="10">
        <v>4</v>
      </c>
      <c r="CJ150" s="10">
        <v>1</v>
      </c>
      <c r="CK150" s="10"/>
      <c r="CL150" s="10"/>
      <c r="CM150" s="10">
        <v>42</v>
      </c>
      <c r="CN150" s="10"/>
      <c r="CO150" s="10">
        <v>0</v>
      </c>
      <c r="CP150" s="317"/>
      <c r="CQ150" s="10"/>
      <c r="CR150" s="10"/>
      <c r="CS150" s="10">
        <v>0</v>
      </c>
      <c r="CT150" s="10">
        <v>25</v>
      </c>
      <c r="CU150" s="10">
        <v>23</v>
      </c>
      <c r="CV150" s="10">
        <v>2</v>
      </c>
      <c r="CW150" s="10"/>
      <c r="CX150" s="10"/>
      <c r="CY150" s="59">
        <v>0</v>
      </c>
      <c r="CZ150" s="59"/>
      <c r="DA150" s="59"/>
      <c r="DB150" s="10">
        <v>0</v>
      </c>
      <c r="DC150" s="10"/>
      <c r="DD150" s="10"/>
      <c r="DE150" s="10"/>
      <c r="DF150" s="10"/>
      <c r="DG150" s="10">
        <v>0</v>
      </c>
      <c r="DH150" s="10">
        <v>2</v>
      </c>
      <c r="DI150" s="10">
        <v>1</v>
      </c>
      <c r="DJ150" s="59">
        <v>0</v>
      </c>
      <c r="DK150" s="59"/>
      <c r="DL150" s="59"/>
      <c r="DM150" s="10">
        <v>0</v>
      </c>
      <c r="DN150" s="10"/>
      <c r="DO150" s="10">
        <v>4</v>
      </c>
      <c r="DP150" s="10"/>
      <c r="DQ150" s="10"/>
      <c r="DR150" s="10"/>
      <c r="DS150" s="59">
        <v>0</v>
      </c>
      <c r="DT150" s="10">
        <v>0</v>
      </c>
      <c r="DU150" s="10">
        <v>0</v>
      </c>
      <c r="DV150" s="38">
        <f t="shared" si="74"/>
        <v>112</v>
      </c>
      <c r="DW150" s="14" t="str">
        <f t="shared" si="75"/>
        <v/>
      </c>
    </row>
    <row r="151" spans="1:127" customFormat="1">
      <c r="A151" s="210">
        <v>33817</v>
      </c>
      <c r="B151" s="211"/>
      <c r="C151" s="8">
        <v>4</v>
      </c>
      <c r="D151" s="10">
        <v>18</v>
      </c>
      <c r="E151" s="10">
        <v>7</v>
      </c>
      <c r="F151" s="10">
        <v>1</v>
      </c>
      <c r="G151" s="10">
        <v>1</v>
      </c>
      <c r="H151" s="10">
        <v>3</v>
      </c>
      <c r="I151" s="10">
        <v>0</v>
      </c>
      <c r="J151" s="10">
        <v>2</v>
      </c>
      <c r="K151" s="59">
        <v>0</v>
      </c>
      <c r="L151" s="59">
        <v>0</v>
      </c>
      <c r="M151" s="59"/>
      <c r="N151" s="59"/>
      <c r="O151" s="10">
        <v>5</v>
      </c>
      <c r="P151" s="59">
        <v>0</v>
      </c>
      <c r="Q151" s="59">
        <v>0</v>
      </c>
      <c r="R151" s="10">
        <v>0</v>
      </c>
      <c r="S151" s="35">
        <f t="shared" si="73"/>
        <v>41</v>
      </c>
      <c r="T151" s="10"/>
      <c r="U151" s="10"/>
      <c r="V151" s="10"/>
      <c r="W151" s="10"/>
      <c r="X151" s="5"/>
      <c r="Y151" s="10"/>
      <c r="Z151" s="8"/>
      <c r="AA151" s="10">
        <v>767730</v>
      </c>
      <c r="AB151" s="10"/>
      <c r="AC151" s="8"/>
      <c r="AD151" s="10"/>
      <c r="AE151" s="35"/>
      <c r="AF151" s="10"/>
      <c r="AG151" s="8">
        <v>96</v>
      </c>
      <c r="AH151" s="10">
        <v>14</v>
      </c>
      <c r="AI151" s="10">
        <v>152</v>
      </c>
      <c r="AJ151" s="5">
        <v>24</v>
      </c>
      <c r="AK151" s="10"/>
      <c r="AL151" s="8"/>
      <c r="AM151" s="10"/>
      <c r="AN151" s="35"/>
      <c r="AO151" s="10"/>
      <c r="AP151" s="10"/>
      <c r="AQ151" s="35"/>
      <c r="AR151" s="59"/>
      <c r="AS151" s="59"/>
      <c r="AT151" s="59"/>
      <c r="AU151" s="59"/>
      <c r="AV151" s="62"/>
      <c r="AW151" s="10"/>
      <c r="AX151" s="326"/>
      <c r="AY151" s="5"/>
      <c r="AZ151" s="10"/>
      <c r="BA151" s="8"/>
      <c r="BB151" s="10"/>
      <c r="BC151" s="10"/>
      <c r="BD151" s="10"/>
      <c r="BE151" s="10"/>
      <c r="BF151" s="10"/>
      <c r="BG151" s="10"/>
      <c r="BH151" s="30"/>
      <c r="BI151" s="10"/>
      <c r="BJ151" s="338"/>
      <c r="BK151" s="338"/>
      <c r="BL151" s="303"/>
      <c r="BM151" s="5"/>
      <c r="BN151" s="10"/>
      <c r="BO151" s="8"/>
      <c r="BP151" s="5"/>
      <c r="BQ151" s="10"/>
      <c r="BR151" s="29">
        <v>1993</v>
      </c>
      <c r="BS151" s="64">
        <v>1992</v>
      </c>
      <c r="BT151" s="14">
        <v>15</v>
      </c>
      <c r="BU151" s="10"/>
      <c r="BV151" s="8">
        <v>2</v>
      </c>
      <c r="BW151" s="10">
        <v>0</v>
      </c>
      <c r="BX151" s="59"/>
      <c r="BY151" s="59"/>
      <c r="BZ151" s="59"/>
      <c r="CA151" s="59"/>
      <c r="CB151" s="59"/>
      <c r="CC151" s="221"/>
      <c r="CD151" s="10">
        <v>6</v>
      </c>
      <c r="CE151" s="317"/>
      <c r="CF151" s="10">
        <v>0</v>
      </c>
      <c r="CG151" s="10">
        <v>0</v>
      </c>
      <c r="CH151" s="10"/>
      <c r="CI151" s="10">
        <v>0</v>
      </c>
      <c r="CJ151" s="10">
        <v>2</v>
      </c>
      <c r="CK151" s="10"/>
      <c r="CL151" s="10"/>
      <c r="CM151" s="10">
        <v>0</v>
      </c>
      <c r="CN151" s="10"/>
      <c r="CO151" s="10">
        <v>8</v>
      </c>
      <c r="CP151" s="317"/>
      <c r="CQ151" s="10"/>
      <c r="CR151" s="10"/>
      <c r="CS151" s="10">
        <v>0</v>
      </c>
      <c r="CT151" s="10">
        <v>14</v>
      </c>
      <c r="CU151" s="10">
        <v>0</v>
      </c>
      <c r="CV151" s="10">
        <v>3</v>
      </c>
      <c r="CW151" s="10"/>
      <c r="CX151" s="10"/>
      <c r="CY151" s="59">
        <v>0</v>
      </c>
      <c r="CZ151" s="59"/>
      <c r="DA151" s="59"/>
      <c r="DB151" s="10">
        <v>3</v>
      </c>
      <c r="DC151" s="10"/>
      <c r="DD151" s="10"/>
      <c r="DE151" s="10"/>
      <c r="DF151" s="10"/>
      <c r="DG151" s="10">
        <v>2</v>
      </c>
      <c r="DH151" s="10">
        <v>0</v>
      </c>
      <c r="DI151" s="10">
        <v>1</v>
      </c>
      <c r="DJ151" s="59">
        <v>0</v>
      </c>
      <c r="DK151" s="59"/>
      <c r="DL151" s="59"/>
      <c r="DM151" s="10">
        <v>0</v>
      </c>
      <c r="DN151" s="10"/>
      <c r="DO151" s="10">
        <v>0</v>
      </c>
      <c r="DP151" s="10"/>
      <c r="DQ151" s="10"/>
      <c r="DR151" s="10"/>
      <c r="DS151" s="59">
        <v>0</v>
      </c>
      <c r="DT151" s="10">
        <v>0</v>
      </c>
      <c r="DU151" s="10">
        <v>0</v>
      </c>
      <c r="DV151" s="38">
        <f t="shared" si="74"/>
        <v>41</v>
      </c>
      <c r="DW151" s="14" t="str">
        <f t="shared" si="75"/>
        <v/>
      </c>
    </row>
    <row r="152" spans="1:127" customFormat="1">
      <c r="A152" s="210">
        <v>33831</v>
      </c>
      <c r="B152" s="211"/>
      <c r="C152" s="8">
        <v>9</v>
      </c>
      <c r="D152" s="10">
        <v>26</v>
      </c>
      <c r="E152" s="10">
        <v>6</v>
      </c>
      <c r="F152" s="10">
        <v>0</v>
      </c>
      <c r="G152" s="10">
        <v>1</v>
      </c>
      <c r="H152" s="10">
        <v>1</v>
      </c>
      <c r="I152" s="10">
        <v>0</v>
      </c>
      <c r="J152" s="10">
        <v>10</v>
      </c>
      <c r="K152" s="59">
        <v>0</v>
      </c>
      <c r="L152" s="59">
        <v>0</v>
      </c>
      <c r="M152" s="59"/>
      <c r="N152" s="59"/>
      <c r="O152" s="10">
        <v>16</v>
      </c>
      <c r="P152" s="59">
        <v>0</v>
      </c>
      <c r="Q152" s="59">
        <v>0</v>
      </c>
      <c r="R152" s="10">
        <v>0</v>
      </c>
      <c r="S152" s="35">
        <f t="shared" si="73"/>
        <v>69</v>
      </c>
      <c r="T152" s="10"/>
      <c r="U152" s="10"/>
      <c r="V152" s="10"/>
      <c r="W152" s="10"/>
      <c r="X152" s="5"/>
      <c r="Y152" s="10"/>
      <c r="Z152" s="8"/>
      <c r="AA152" s="10">
        <v>984225</v>
      </c>
      <c r="AB152" s="10"/>
      <c r="AC152" s="8"/>
      <c r="AD152" s="10"/>
      <c r="AE152" s="35"/>
      <c r="AF152" s="10"/>
      <c r="AG152" s="8">
        <v>108</v>
      </c>
      <c r="AH152" s="10">
        <v>15</v>
      </c>
      <c r="AI152" s="10">
        <v>154</v>
      </c>
      <c r="AJ152" s="5">
        <v>24</v>
      </c>
      <c r="AK152" s="10"/>
      <c r="AL152" s="8"/>
      <c r="AM152" s="10"/>
      <c r="AN152" s="35"/>
      <c r="AO152" s="10"/>
      <c r="AP152" s="10"/>
      <c r="AQ152" s="35"/>
      <c r="AR152" s="59"/>
      <c r="AS152" s="59"/>
      <c r="AT152" s="59"/>
      <c r="AU152" s="59"/>
      <c r="AV152" s="62"/>
      <c r="AW152" s="10"/>
      <c r="AX152" s="326"/>
      <c r="AY152" s="5"/>
      <c r="AZ152" s="10"/>
      <c r="BA152" s="8"/>
      <c r="BB152" s="10"/>
      <c r="BC152" s="10"/>
      <c r="BD152" s="10"/>
      <c r="BE152" s="10"/>
      <c r="BF152" s="10"/>
      <c r="BG152" s="10"/>
      <c r="BH152" s="30"/>
      <c r="BI152" s="10"/>
      <c r="BJ152" s="338"/>
      <c r="BK152" s="338"/>
      <c r="BL152" s="303"/>
      <c r="BM152" s="5"/>
      <c r="BN152" s="10"/>
      <c r="BO152" s="8"/>
      <c r="BP152" s="5"/>
      <c r="BQ152" s="10"/>
      <c r="BR152" s="29">
        <v>1993</v>
      </c>
      <c r="BS152" s="64">
        <v>1992</v>
      </c>
      <c r="BT152" s="14">
        <v>16</v>
      </c>
      <c r="BU152" s="10"/>
      <c r="BV152" s="8">
        <v>3</v>
      </c>
      <c r="BW152" s="10">
        <v>4</v>
      </c>
      <c r="BX152" s="59"/>
      <c r="BY152" s="59"/>
      <c r="BZ152" s="59"/>
      <c r="CA152" s="59"/>
      <c r="CB152" s="59"/>
      <c r="CC152" s="221"/>
      <c r="CD152" s="10">
        <v>6</v>
      </c>
      <c r="CE152" s="317"/>
      <c r="CF152" s="10">
        <v>0</v>
      </c>
      <c r="CG152" s="10">
        <v>0</v>
      </c>
      <c r="CH152" s="10"/>
      <c r="CI152" s="10">
        <v>14</v>
      </c>
      <c r="CJ152" s="10">
        <v>3</v>
      </c>
      <c r="CK152" s="10"/>
      <c r="CL152" s="10"/>
      <c r="CM152" s="10">
        <v>0</v>
      </c>
      <c r="CN152" s="10"/>
      <c r="CO152" s="10">
        <v>1</v>
      </c>
      <c r="CP152" s="317"/>
      <c r="CQ152" s="10"/>
      <c r="CR152" s="10"/>
      <c r="CS152" s="10">
        <v>0</v>
      </c>
      <c r="CT152" s="10">
        <v>15</v>
      </c>
      <c r="CU152" s="10">
        <v>4</v>
      </c>
      <c r="CV152" s="10">
        <v>1</v>
      </c>
      <c r="CW152" s="10"/>
      <c r="CX152" s="10"/>
      <c r="CY152" s="59">
        <v>0</v>
      </c>
      <c r="CZ152" s="59"/>
      <c r="DA152" s="59"/>
      <c r="DB152" s="10">
        <v>3</v>
      </c>
      <c r="DC152" s="10"/>
      <c r="DD152" s="10"/>
      <c r="DE152" s="10"/>
      <c r="DF152" s="10"/>
      <c r="DG152" s="10">
        <v>4</v>
      </c>
      <c r="DH152" s="10">
        <v>0</v>
      </c>
      <c r="DI152" s="10">
        <v>0</v>
      </c>
      <c r="DJ152" s="59">
        <v>0</v>
      </c>
      <c r="DK152" s="59"/>
      <c r="DL152" s="59"/>
      <c r="DM152" s="10">
        <v>2</v>
      </c>
      <c r="DN152" s="10"/>
      <c r="DO152" s="10">
        <v>7</v>
      </c>
      <c r="DP152" s="10"/>
      <c r="DQ152" s="10"/>
      <c r="DR152" s="10"/>
      <c r="DS152" s="59">
        <v>0</v>
      </c>
      <c r="DT152" s="10">
        <v>2</v>
      </c>
      <c r="DU152" s="10">
        <v>0</v>
      </c>
      <c r="DV152" s="38">
        <f t="shared" si="74"/>
        <v>69</v>
      </c>
      <c r="DW152" s="14" t="str">
        <f t="shared" si="75"/>
        <v/>
      </c>
    </row>
    <row r="153" spans="1:127" customFormat="1">
      <c r="A153" s="210">
        <v>33848</v>
      </c>
      <c r="B153" s="211"/>
      <c r="C153" s="8">
        <v>7</v>
      </c>
      <c r="D153" s="10">
        <v>34</v>
      </c>
      <c r="E153" s="10">
        <v>9</v>
      </c>
      <c r="F153" s="10">
        <v>2</v>
      </c>
      <c r="G153" s="10">
        <v>1</v>
      </c>
      <c r="H153" s="10">
        <v>2</v>
      </c>
      <c r="I153" s="10">
        <v>0</v>
      </c>
      <c r="J153" s="10">
        <v>18</v>
      </c>
      <c r="K153" s="59">
        <v>0</v>
      </c>
      <c r="L153" s="59">
        <v>0</v>
      </c>
      <c r="M153" s="59"/>
      <c r="N153" s="59"/>
      <c r="O153" s="10">
        <v>21</v>
      </c>
      <c r="P153" s="59">
        <v>0</v>
      </c>
      <c r="Q153" s="59">
        <v>0</v>
      </c>
      <c r="R153" s="10">
        <v>0</v>
      </c>
      <c r="S153" s="35">
        <f t="shared" si="73"/>
        <v>94</v>
      </c>
      <c r="T153" s="10"/>
      <c r="U153" s="10"/>
      <c r="V153" s="10"/>
      <c r="W153" s="10"/>
      <c r="X153" s="5"/>
      <c r="Y153" s="10"/>
      <c r="Z153" s="8"/>
      <c r="AA153" s="10">
        <v>1977828</v>
      </c>
      <c r="AB153" s="10"/>
      <c r="AC153" s="8"/>
      <c r="AD153" s="10"/>
      <c r="AE153" s="35"/>
      <c r="AF153" s="10"/>
      <c r="AG153" s="8">
        <v>119</v>
      </c>
      <c r="AH153" s="59">
        <v>1</v>
      </c>
      <c r="AI153" s="10">
        <v>152</v>
      </c>
      <c r="AJ153" s="5">
        <v>24</v>
      </c>
      <c r="AK153" s="10"/>
      <c r="AL153" s="8"/>
      <c r="AM153" s="10"/>
      <c r="AN153" s="35"/>
      <c r="AO153" s="10"/>
      <c r="AP153" s="10"/>
      <c r="AQ153" s="35"/>
      <c r="AR153" s="59"/>
      <c r="AS153" s="59"/>
      <c r="AT153" s="59"/>
      <c r="AU153" s="59"/>
      <c r="AV153" s="62"/>
      <c r="AW153" s="10"/>
      <c r="AX153" s="326"/>
      <c r="AY153" s="5"/>
      <c r="AZ153" s="10"/>
      <c r="BA153" s="8">
        <v>1550</v>
      </c>
      <c r="BB153" s="10"/>
      <c r="BC153" s="10">
        <v>17709056</v>
      </c>
      <c r="BD153" s="10"/>
      <c r="BE153" s="10"/>
      <c r="BF153" s="10"/>
      <c r="BG153" s="10"/>
      <c r="BH153" s="30"/>
      <c r="BI153" s="10"/>
      <c r="BJ153" s="338"/>
      <c r="BK153" s="338"/>
      <c r="BL153" s="303"/>
      <c r="BM153" s="5"/>
      <c r="BN153" s="10"/>
      <c r="BO153" s="8"/>
      <c r="BP153" s="5"/>
      <c r="BQ153" s="10"/>
      <c r="BR153" s="29">
        <v>1993</v>
      </c>
      <c r="BS153" s="64">
        <v>1992</v>
      </c>
      <c r="BT153" s="14">
        <v>17</v>
      </c>
      <c r="BU153" s="10"/>
      <c r="BV153" s="8">
        <v>0</v>
      </c>
      <c r="BW153" s="10">
        <v>0</v>
      </c>
      <c r="BX153" s="59"/>
      <c r="BY153" s="59"/>
      <c r="BZ153" s="59"/>
      <c r="CA153" s="59"/>
      <c r="CB153" s="59"/>
      <c r="CC153" s="221"/>
      <c r="CD153" s="10">
        <v>3</v>
      </c>
      <c r="CE153" s="317"/>
      <c r="CF153" s="10">
        <v>1</v>
      </c>
      <c r="CG153" s="10">
        <v>2</v>
      </c>
      <c r="CH153" s="10"/>
      <c r="CI153" s="10">
        <v>11</v>
      </c>
      <c r="CJ153" s="10">
        <v>2</v>
      </c>
      <c r="CK153" s="10"/>
      <c r="CL153" s="10"/>
      <c r="CM153" s="10">
        <v>17</v>
      </c>
      <c r="CN153" s="10"/>
      <c r="CO153" s="10">
        <v>21</v>
      </c>
      <c r="CP153" s="317"/>
      <c r="CQ153" s="10"/>
      <c r="CR153" s="10"/>
      <c r="CS153" s="10">
        <v>0</v>
      </c>
      <c r="CT153" s="10">
        <v>17</v>
      </c>
      <c r="CU153" s="10">
        <v>3</v>
      </c>
      <c r="CV153" s="10">
        <v>2</v>
      </c>
      <c r="CW153" s="10"/>
      <c r="CX153" s="10"/>
      <c r="CY153" s="59">
        <v>0</v>
      </c>
      <c r="CZ153" s="59"/>
      <c r="DA153" s="59"/>
      <c r="DB153" s="10">
        <v>0</v>
      </c>
      <c r="DC153" s="10"/>
      <c r="DD153" s="10"/>
      <c r="DE153" s="10"/>
      <c r="DF153" s="10"/>
      <c r="DG153" s="10">
        <v>1</v>
      </c>
      <c r="DH153" s="10">
        <v>1</v>
      </c>
      <c r="DI153" s="10">
        <v>0</v>
      </c>
      <c r="DJ153" s="59">
        <v>0</v>
      </c>
      <c r="DK153" s="59"/>
      <c r="DL153" s="59"/>
      <c r="DM153" s="10">
        <v>10</v>
      </c>
      <c r="DN153" s="10"/>
      <c r="DO153" s="10">
        <v>1</v>
      </c>
      <c r="DP153" s="10"/>
      <c r="DQ153" s="10"/>
      <c r="DR153" s="10"/>
      <c r="DS153" s="59">
        <v>0</v>
      </c>
      <c r="DT153" s="10">
        <v>2</v>
      </c>
      <c r="DU153" s="10">
        <v>0</v>
      </c>
      <c r="DV153" s="38">
        <f t="shared" si="74"/>
        <v>94</v>
      </c>
      <c r="DW153" s="14" t="str">
        <f t="shared" si="75"/>
        <v/>
      </c>
    </row>
    <row r="154" spans="1:127" customFormat="1">
      <c r="A154" s="210">
        <v>33862</v>
      </c>
      <c r="B154" s="211"/>
      <c r="C154" s="8">
        <v>7</v>
      </c>
      <c r="D154" s="10">
        <v>23</v>
      </c>
      <c r="E154" s="10">
        <v>2</v>
      </c>
      <c r="F154" s="10">
        <v>0</v>
      </c>
      <c r="G154" s="10">
        <v>9</v>
      </c>
      <c r="H154" s="10">
        <v>4</v>
      </c>
      <c r="I154" s="10">
        <v>0</v>
      </c>
      <c r="J154" s="10">
        <v>8</v>
      </c>
      <c r="K154" s="59">
        <v>0</v>
      </c>
      <c r="L154" s="59">
        <v>0</v>
      </c>
      <c r="M154" s="59"/>
      <c r="N154" s="59"/>
      <c r="O154" s="10">
        <v>17</v>
      </c>
      <c r="P154" s="59">
        <v>0</v>
      </c>
      <c r="Q154" s="59">
        <v>0</v>
      </c>
      <c r="R154" s="10">
        <v>0</v>
      </c>
      <c r="S154" s="35">
        <f t="shared" si="73"/>
        <v>70</v>
      </c>
      <c r="T154" s="10"/>
      <c r="U154" s="10"/>
      <c r="V154" s="10"/>
      <c r="W154" s="10"/>
      <c r="X154" s="5"/>
      <c r="Y154" s="10"/>
      <c r="Z154" s="8"/>
      <c r="AA154" s="10">
        <v>1714635</v>
      </c>
      <c r="AB154" s="10"/>
      <c r="AC154" s="8"/>
      <c r="AD154" s="10"/>
      <c r="AE154" s="35"/>
      <c r="AF154" s="10"/>
      <c r="AG154" s="8">
        <v>70</v>
      </c>
      <c r="AH154" s="59">
        <v>16</v>
      </c>
      <c r="AI154" s="10">
        <v>154</v>
      </c>
      <c r="AJ154" s="5">
        <v>20</v>
      </c>
      <c r="AK154" s="10"/>
      <c r="AL154" s="8"/>
      <c r="AM154" s="10"/>
      <c r="AN154" s="35"/>
      <c r="AO154" s="10"/>
      <c r="AP154" s="10"/>
      <c r="AQ154" s="35"/>
      <c r="AR154" s="59"/>
      <c r="AS154" s="59"/>
      <c r="AT154" s="59"/>
      <c r="AU154" s="59"/>
      <c r="AV154" s="62"/>
      <c r="AW154" s="10"/>
      <c r="AX154" s="326"/>
      <c r="AY154" s="5"/>
      <c r="AZ154" s="10"/>
      <c r="BA154" s="8"/>
      <c r="BB154" s="10"/>
      <c r="BC154" s="10"/>
      <c r="BD154" s="10"/>
      <c r="BE154" s="10"/>
      <c r="BF154" s="10"/>
      <c r="BG154" s="10"/>
      <c r="BH154" s="30"/>
      <c r="BI154" s="10"/>
      <c r="BJ154" s="338"/>
      <c r="BK154" s="338"/>
      <c r="BL154" s="303"/>
      <c r="BM154" s="5"/>
      <c r="BN154" s="10"/>
      <c r="BO154" s="8"/>
      <c r="BP154" s="5"/>
      <c r="BQ154" s="10"/>
      <c r="BR154" s="29">
        <v>1993</v>
      </c>
      <c r="BS154" s="64">
        <v>1992</v>
      </c>
      <c r="BT154" s="14">
        <v>18</v>
      </c>
      <c r="BU154" s="10"/>
      <c r="BV154" s="8">
        <v>0</v>
      </c>
      <c r="BW154" s="10">
        <v>2</v>
      </c>
      <c r="BX154" s="59"/>
      <c r="BY154" s="59"/>
      <c r="BZ154" s="59"/>
      <c r="CA154" s="59"/>
      <c r="CB154" s="59"/>
      <c r="CC154" s="221"/>
      <c r="CD154" s="10">
        <v>7</v>
      </c>
      <c r="CE154" s="317"/>
      <c r="CF154" s="10">
        <v>0</v>
      </c>
      <c r="CG154" s="10">
        <v>0</v>
      </c>
      <c r="CH154" s="10"/>
      <c r="CI154" s="10">
        <v>8</v>
      </c>
      <c r="CJ154" s="10">
        <v>15</v>
      </c>
      <c r="CK154" s="10"/>
      <c r="CL154" s="10"/>
      <c r="CM154" s="10">
        <v>0</v>
      </c>
      <c r="CN154" s="10"/>
      <c r="CO154" s="10">
        <v>3</v>
      </c>
      <c r="CP154" s="317"/>
      <c r="CQ154" s="10"/>
      <c r="CR154" s="10"/>
      <c r="CS154" s="10">
        <v>1</v>
      </c>
      <c r="CT154" s="10">
        <v>10</v>
      </c>
      <c r="CU154" s="10">
        <v>1</v>
      </c>
      <c r="CV154" s="10">
        <v>1</v>
      </c>
      <c r="CW154" s="10"/>
      <c r="CX154" s="10"/>
      <c r="CY154" s="59">
        <v>0</v>
      </c>
      <c r="CZ154" s="59"/>
      <c r="DA154" s="59"/>
      <c r="DB154" s="10">
        <v>5</v>
      </c>
      <c r="DC154" s="10"/>
      <c r="DD154" s="10"/>
      <c r="DE154" s="10"/>
      <c r="DF154" s="10"/>
      <c r="DG154" s="10">
        <v>4</v>
      </c>
      <c r="DH154" s="10">
        <v>0</v>
      </c>
      <c r="DI154" s="10">
        <v>1</v>
      </c>
      <c r="DJ154" s="59">
        <v>0</v>
      </c>
      <c r="DK154" s="59"/>
      <c r="DL154" s="59"/>
      <c r="DM154" s="10">
        <v>5</v>
      </c>
      <c r="DN154" s="10"/>
      <c r="DO154" s="10">
        <v>7</v>
      </c>
      <c r="DP154" s="10"/>
      <c r="DQ154" s="10"/>
      <c r="DR154" s="10"/>
      <c r="DS154" s="59">
        <v>0</v>
      </c>
      <c r="DT154" s="10">
        <v>0</v>
      </c>
      <c r="DU154" s="10">
        <v>0</v>
      </c>
      <c r="DV154" s="38">
        <f t="shared" si="74"/>
        <v>70</v>
      </c>
      <c r="DW154" s="14" t="str">
        <f t="shared" si="75"/>
        <v/>
      </c>
    </row>
    <row r="155" spans="1:127" customFormat="1">
      <c r="A155" s="210">
        <v>33878</v>
      </c>
      <c r="B155" s="211"/>
      <c r="C155" s="8">
        <v>2</v>
      </c>
      <c r="D155" s="10">
        <v>27</v>
      </c>
      <c r="E155" s="10">
        <v>0</v>
      </c>
      <c r="F155" s="10">
        <v>0</v>
      </c>
      <c r="G155" s="10">
        <v>2</v>
      </c>
      <c r="H155" s="10">
        <v>0</v>
      </c>
      <c r="I155" s="10">
        <v>0</v>
      </c>
      <c r="J155" s="10">
        <v>11</v>
      </c>
      <c r="K155" s="59">
        <v>0</v>
      </c>
      <c r="L155" s="59">
        <v>0</v>
      </c>
      <c r="M155" s="59"/>
      <c r="N155" s="59"/>
      <c r="O155" s="10">
        <v>23</v>
      </c>
      <c r="P155" s="59">
        <v>0</v>
      </c>
      <c r="Q155" s="59">
        <v>0</v>
      </c>
      <c r="R155" s="10">
        <v>2</v>
      </c>
      <c r="S155" s="35">
        <f t="shared" si="73"/>
        <v>67</v>
      </c>
      <c r="T155" s="10"/>
      <c r="U155" s="10"/>
      <c r="V155" s="10"/>
      <c r="W155" s="10"/>
      <c r="X155" s="5"/>
      <c r="Y155" s="10"/>
      <c r="Z155" s="8"/>
      <c r="AA155" s="10">
        <v>1316057</v>
      </c>
      <c r="AB155" s="10"/>
      <c r="AC155" s="8"/>
      <c r="AD155" s="10"/>
      <c r="AE155" s="35"/>
      <c r="AF155" s="10"/>
      <c r="AG155" s="8">
        <v>92</v>
      </c>
      <c r="AH155" s="59">
        <v>17</v>
      </c>
      <c r="AI155" s="10">
        <v>154</v>
      </c>
      <c r="AJ155" s="5">
        <v>28</v>
      </c>
      <c r="AK155" s="10"/>
      <c r="AL155" s="8"/>
      <c r="AM155" s="10"/>
      <c r="AN155" s="35"/>
      <c r="AO155" s="10"/>
      <c r="AP155" s="10"/>
      <c r="AQ155" s="35"/>
      <c r="AR155" s="59"/>
      <c r="AS155" s="59"/>
      <c r="AT155" s="59"/>
      <c r="AU155" s="59"/>
      <c r="AV155" s="62"/>
      <c r="AW155" s="10"/>
      <c r="AX155" s="326"/>
      <c r="AY155" s="5"/>
      <c r="AZ155" s="10"/>
      <c r="BA155" s="8">
        <v>1532</v>
      </c>
      <c r="BB155" s="10"/>
      <c r="BC155" s="10">
        <v>17600512</v>
      </c>
      <c r="BD155" s="10"/>
      <c r="BE155" s="10"/>
      <c r="BF155" s="10"/>
      <c r="BG155" s="10"/>
      <c r="BH155" s="30"/>
      <c r="BI155" s="10"/>
      <c r="BJ155" s="338"/>
      <c r="BK155" s="338"/>
      <c r="BL155" s="303"/>
      <c r="BM155" s="5"/>
      <c r="BN155" s="10"/>
      <c r="BO155" s="8"/>
      <c r="BP155" s="5"/>
      <c r="BQ155" s="10"/>
      <c r="BR155" s="29">
        <v>1993</v>
      </c>
      <c r="BS155" s="64">
        <v>1992</v>
      </c>
      <c r="BT155" s="14">
        <v>19</v>
      </c>
      <c r="BU155" s="10"/>
      <c r="BV155" s="8">
        <v>2</v>
      </c>
      <c r="BW155" s="10">
        <v>2</v>
      </c>
      <c r="BX155" s="59"/>
      <c r="BY155" s="59"/>
      <c r="BZ155" s="59"/>
      <c r="CA155" s="59"/>
      <c r="CB155" s="59"/>
      <c r="CC155" s="221"/>
      <c r="CD155" s="10">
        <v>5</v>
      </c>
      <c r="CE155" s="317"/>
      <c r="CF155" s="10">
        <v>0</v>
      </c>
      <c r="CG155" s="10">
        <v>0</v>
      </c>
      <c r="CH155" s="10"/>
      <c r="CI155" s="10">
        <v>7</v>
      </c>
      <c r="CJ155" s="10">
        <v>10</v>
      </c>
      <c r="CK155" s="10"/>
      <c r="CL155" s="10"/>
      <c r="CM155" s="10">
        <v>0</v>
      </c>
      <c r="CN155" s="10"/>
      <c r="CO155" s="10">
        <v>1</v>
      </c>
      <c r="CP155" s="317"/>
      <c r="CQ155" s="10"/>
      <c r="CR155" s="10"/>
      <c r="CS155" s="10">
        <v>1</v>
      </c>
      <c r="CT155" s="10">
        <v>15</v>
      </c>
      <c r="CU155" s="10">
        <v>4</v>
      </c>
      <c r="CV155" s="10">
        <v>2</v>
      </c>
      <c r="CW155" s="10"/>
      <c r="CX155" s="10"/>
      <c r="CY155" s="59">
        <v>0</v>
      </c>
      <c r="CZ155" s="59"/>
      <c r="DA155" s="59"/>
      <c r="DB155" s="10">
        <v>1</v>
      </c>
      <c r="DC155" s="10"/>
      <c r="DD155" s="10"/>
      <c r="DE155" s="10"/>
      <c r="DF155" s="10"/>
      <c r="DG155" s="10">
        <v>2</v>
      </c>
      <c r="DH155" s="10">
        <v>2</v>
      </c>
      <c r="DI155" s="10">
        <v>10</v>
      </c>
      <c r="DJ155" s="59">
        <v>0</v>
      </c>
      <c r="DK155" s="59"/>
      <c r="DL155" s="59"/>
      <c r="DM155" s="10">
        <v>0</v>
      </c>
      <c r="DN155" s="10"/>
      <c r="DO155" s="10">
        <v>0</v>
      </c>
      <c r="DP155" s="10"/>
      <c r="DQ155" s="10"/>
      <c r="DR155" s="10"/>
      <c r="DS155" s="59">
        <v>0</v>
      </c>
      <c r="DT155" s="10">
        <v>1</v>
      </c>
      <c r="DU155" s="10">
        <v>2</v>
      </c>
      <c r="DV155" s="38">
        <f t="shared" si="74"/>
        <v>67</v>
      </c>
      <c r="DW155" s="14" t="str">
        <f t="shared" si="75"/>
        <v/>
      </c>
    </row>
    <row r="156" spans="1:127" customFormat="1">
      <c r="A156" s="210">
        <v>33892</v>
      </c>
      <c r="B156" s="211"/>
      <c r="C156" s="8">
        <v>4</v>
      </c>
      <c r="D156" s="10">
        <v>22</v>
      </c>
      <c r="E156" s="10">
        <v>0</v>
      </c>
      <c r="F156" s="10">
        <v>0</v>
      </c>
      <c r="G156" s="10">
        <v>2</v>
      </c>
      <c r="H156" s="10">
        <v>0</v>
      </c>
      <c r="I156" s="10">
        <v>0</v>
      </c>
      <c r="J156" s="10">
        <v>1</v>
      </c>
      <c r="K156" s="59">
        <v>0</v>
      </c>
      <c r="L156" s="59">
        <v>0</v>
      </c>
      <c r="M156" s="59"/>
      <c r="N156" s="59"/>
      <c r="O156" s="10">
        <v>39</v>
      </c>
      <c r="P156" s="59">
        <v>0</v>
      </c>
      <c r="Q156" s="59">
        <v>0</v>
      </c>
      <c r="R156" s="10">
        <v>0</v>
      </c>
      <c r="S156" s="35">
        <f t="shared" si="73"/>
        <v>68</v>
      </c>
      <c r="T156" s="10"/>
      <c r="U156" s="10"/>
      <c r="V156" s="10"/>
      <c r="W156" s="10"/>
      <c r="X156" s="5"/>
      <c r="Y156" s="10"/>
      <c r="Z156" s="8"/>
      <c r="AA156" s="10">
        <v>1560135</v>
      </c>
      <c r="AB156" s="10"/>
      <c r="AC156" s="8"/>
      <c r="AD156" s="10"/>
      <c r="AE156" s="35"/>
      <c r="AF156" s="10"/>
      <c r="AG156" s="8">
        <v>87</v>
      </c>
      <c r="AH156" s="59">
        <v>18</v>
      </c>
      <c r="AI156" s="10">
        <v>154</v>
      </c>
      <c r="AJ156" s="5">
        <v>24</v>
      </c>
      <c r="AK156" s="10"/>
      <c r="AL156" s="8"/>
      <c r="AM156" s="10"/>
      <c r="AN156" s="35"/>
      <c r="AO156" s="10"/>
      <c r="AP156" s="10"/>
      <c r="AQ156" s="35"/>
      <c r="AR156" s="59"/>
      <c r="AS156" s="59"/>
      <c r="AT156" s="59"/>
      <c r="AU156" s="59"/>
      <c r="AV156" s="62"/>
      <c r="AW156" s="10"/>
      <c r="AX156" s="326"/>
      <c r="AY156" s="5"/>
      <c r="AZ156" s="10"/>
      <c r="BA156" s="8"/>
      <c r="BB156" s="10"/>
      <c r="BC156" s="10"/>
      <c r="BD156" s="10"/>
      <c r="BE156" s="10"/>
      <c r="BF156" s="10"/>
      <c r="BG156" s="10"/>
      <c r="BH156" s="30"/>
      <c r="BI156" s="10"/>
      <c r="BJ156" s="338"/>
      <c r="BK156" s="338"/>
      <c r="BL156" s="303"/>
      <c r="BM156" s="5"/>
      <c r="BN156" s="10"/>
      <c r="BO156" s="8"/>
      <c r="BP156" s="5"/>
      <c r="BQ156" s="10"/>
      <c r="BR156" s="29">
        <v>1993</v>
      </c>
      <c r="BS156" s="64">
        <v>1992</v>
      </c>
      <c r="BT156" s="14">
        <v>20</v>
      </c>
      <c r="BU156" s="10"/>
      <c r="BV156" s="8">
        <v>0</v>
      </c>
      <c r="BW156" s="10">
        <v>4</v>
      </c>
      <c r="BX156" s="59"/>
      <c r="BY156" s="59"/>
      <c r="BZ156" s="59"/>
      <c r="CA156" s="59"/>
      <c r="CB156" s="59"/>
      <c r="CC156" s="221"/>
      <c r="CD156" s="10">
        <v>0</v>
      </c>
      <c r="CE156" s="317"/>
      <c r="CF156" s="10">
        <v>7</v>
      </c>
      <c r="CG156" s="10">
        <v>0</v>
      </c>
      <c r="CH156" s="10"/>
      <c r="CI156" s="10">
        <v>0</v>
      </c>
      <c r="CJ156" s="10">
        <v>3</v>
      </c>
      <c r="CK156" s="10"/>
      <c r="CL156" s="10"/>
      <c r="CM156" s="10">
        <v>0</v>
      </c>
      <c r="CN156" s="10"/>
      <c r="CO156" s="10">
        <v>0</v>
      </c>
      <c r="CP156" s="317"/>
      <c r="CQ156" s="10"/>
      <c r="CR156" s="10"/>
      <c r="CS156" s="10">
        <v>0</v>
      </c>
      <c r="CT156" s="10">
        <v>31</v>
      </c>
      <c r="CU156" s="10">
        <v>1</v>
      </c>
      <c r="CV156" s="10">
        <v>3</v>
      </c>
      <c r="CW156" s="10"/>
      <c r="CX156" s="10"/>
      <c r="CY156" s="59">
        <v>0</v>
      </c>
      <c r="CZ156" s="59"/>
      <c r="DA156" s="59"/>
      <c r="DB156" s="10">
        <v>3</v>
      </c>
      <c r="DC156" s="10"/>
      <c r="DD156" s="10"/>
      <c r="DE156" s="10"/>
      <c r="DF156" s="10"/>
      <c r="DG156" s="10">
        <v>0</v>
      </c>
      <c r="DH156" s="10">
        <v>2</v>
      </c>
      <c r="DI156" s="10">
        <v>0</v>
      </c>
      <c r="DJ156" s="59">
        <v>0</v>
      </c>
      <c r="DK156" s="59"/>
      <c r="DL156" s="59"/>
      <c r="DM156" s="10">
        <v>2</v>
      </c>
      <c r="DN156" s="10"/>
      <c r="DO156" s="10">
        <v>9</v>
      </c>
      <c r="DP156" s="10"/>
      <c r="DQ156" s="10"/>
      <c r="DR156" s="10"/>
      <c r="DS156" s="59">
        <v>0</v>
      </c>
      <c r="DT156" s="10">
        <v>3</v>
      </c>
      <c r="DU156" s="10">
        <v>0</v>
      </c>
      <c r="DV156" s="38">
        <f t="shared" si="74"/>
        <v>68</v>
      </c>
      <c r="DW156" s="14" t="str">
        <f t="shared" si="75"/>
        <v/>
      </c>
    </row>
    <row r="157" spans="1:127" customFormat="1">
      <c r="A157" s="210">
        <v>33909</v>
      </c>
      <c r="B157" s="211"/>
      <c r="C157" s="8">
        <v>3</v>
      </c>
      <c r="D157" s="10">
        <v>27</v>
      </c>
      <c r="E157" s="10">
        <v>1</v>
      </c>
      <c r="F157" s="10">
        <v>0</v>
      </c>
      <c r="G157" s="10">
        <v>2</v>
      </c>
      <c r="H157" s="10">
        <v>1</v>
      </c>
      <c r="I157" s="10">
        <v>0</v>
      </c>
      <c r="J157" s="10">
        <v>49</v>
      </c>
      <c r="K157" s="59">
        <v>0</v>
      </c>
      <c r="L157" s="59">
        <v>0</v>
      </c>
      <c r="M157" s="59"/>
      <c r="N157" s="59"/>
      <c r="O157" s="10">
        <v>22</v>
      </c>
      <c r="P157" s="59">
        <v>0</v>
      </c>
      <c r="Q157" s="59">
        <v>0</v>
      </c>
      <c r="R157" s="10">
        <v>0</v>
      </c>
      <c r="S157" s="35">
        <f t="shared" si="73"/>
        <v>105</v>
      </c>
      <c r="T157" s="10"/>
      <c r="U157" s="10"/>
      <c r="V157" s="10"/>
      <c r="W157" s="10"/>
      <c r="X157" s="5"/>
      <c r="Y157" s="10"/>
      <c r="Z157" s="8"/>
      <c r="AA157" s="10">
        <v>1571275</v>
      </c>
      <c r="AB157" s="10"/>
      <c r="AC157" s="8"/>
      <c r="AD157" s="10"/>
      <c r="AE157" s="35"/>
      <c r="AF157" s="10"/>
      <c r="AG157" s="8">
        <v>58</v>
      </c>
      <c r="AH157" s="59">
        <v>44</v>
      </c>
      <c r="AI157" s="10">
        <v>154</v>
      </c>
      <c r="AJ157" s="5">
        <v>32</v>
      </c>
      <c r="AK157" s="10"/>
      <c r="AL157" s="8"/>
      <c r="AM157" s="10"/>
      <c r="AN157" s="35"/>
      <c r="AO157" s="10"/>
      <c r="AP157" s="10"/>
      <c r="AQ157" s="35"/>
      <c r="AR157" s="59"/>
      <c r="AS157" s="59"/>
      <c r="AT157" s="59"/>
      <c r="AU157" s="59"/>
      <c r="AV157" s="62"/>
      <c r="AW157" s="10"/>
      <c r="AX157" s="326"/>
      <c r="AY157" s="5"/>
      <c r="AZ157" s="10"/>
      <c r="BA157" s="8">
        <v>1521</v>
      </c>
      <c r="BB157" s="10"/>
      <c r="BC157" s="10">
        <v>17547264</v>
      </c>
      <c r="BD157" s="10"/>
      <c r="BE157" s="10"/>
      <c r="BF157" s="10"/>
      <c r="BG157" s="10"/>
      <c r="BH157" s="30"/>
      <c r="BI157" s="10"/>
      <c r="BJ157" s="338"/>
      <c r="BK157" s="338"/>
      <c r="BL157" s="303"/>
      <c r="BM157" s="5"/>
      <c r="BN157" s="10"/>
      <c r="BO157" s="8"/>
      <c r="BP157" s="5"/>
      <c r="BQ157" s="10"/>
      <c r="BR157" s="29">
        <v>1993</v>
      </c>
      <c r="BS157" s="64">
        <v>1992</v>
      </c>
      <c r="BT157" s="14">
        <v>21</v>
      </c>
      <c r="BU157" s="10"/>
      <c r="BV157" s="8">
        <v>3</v>
      </c>
      <c r="BW157" s="10">
        <v>0</v>
      </c>
      <c r="BX157" s="59"/>
      <c r="BY157" s="59"/>
      <c r="BZ157" s="59"/>
      <c r="CA157" s="59"/>
      <c r="CB157" s="59"/>
      <c r="CC157" s="221"/>
      <c r="CD157" s="10">
        <v>0</v>
      </c>
      <c r="CE157" s="317"/>
      <c r="CF157" s="10">
        <v>1</v>
      </c>
      <c r="CG157" s="10">
        <v>3</v>
      </c>
      <c r="CH157" s="10"/>
      <c r="CI157" s="10">
        <v>6</v>
      </c>
      <c r="CJ157" s="10">
        <v>8</v>
      </c>
      <c r="CK157" s="10"/>
      <c r="CL157" s="10"/>
      <c r="CM157" s="10">
        <v>0</v>
      </c>
      <c r="CN157" s="10"/>
      <c r="CO157" s="10">
        <v>25</v>
      </c>
      <c r="CP157" s="317"/>
      <c r="CQ157" s="10"/>
      <c r="CR157" s="10"/>
      <c r="CS157" s="10">
        <v>0</v>
      </c>
      <c r="CT157" s="10">
        <v>8</v>
      </c>
      <c r="CU157" s="10">
        <v>4</v>
      </c>
      <c r="CV157" s="10">
        <v>4</v>
      </c>
      <c r="CW157" s="10"/>
      <c r="CX157" s="10"/>
      <c r="CY157" s="59">
        <v>0</v>
      </c>
      <c r="CZ157" s="59"/>
      <c r="DA157" s="59"/>
      <c r="DB157" s="10">
        <v>33</v>
      </c>
      <c r="DC157" s="10"/>
      <c r="DD157" s="10"/>
      <c r="DE157" s="10"/>
      <c r="DF157" s="10"/>
      <c r="DG157" s="10">
        <v>8</v>
      </c>
      <c r="DH157" s="10">
        <v>1</v>
      </c>
      <c r="DI157" s="10">
        <v>0</v>
      </c>
      <c r="DJ157" s="59">
        <v>0</v>
      </c>
      <c r="DK157" s="59"/>
      <c r="DL157" s="59"/>
      <c r="DM157" s="10">
        <v>0</v>
      </c>
      <c r="DN157" s="10"/>
      <c r="DO157" s="10">
        <v>0</v>
      </c>
      <c r="DP157" s="10"/>
      <c r="DQ157" s="10"/>
      <c r="DR157" s="10"/>
      <c r="DS157" s="59">
        <v>0</v>
      </c>
      <c r="DT157" s="10">
        <v>1</v>
      </c>
      <c r="DU157" s="10">
        <v>0</v>
      </c>
      <c r="DV157" s="38">
        <f t="shared" si="74"/>
        <v>105</v>
      </c>
      <c r="DW157" s="14" t="str">
        <f t="shared" si="75"/>
        <v/>
      </c>
    </row>
    <row r="158" spans="1:127" customFormat="1">
      <c r="A158" s="210">
        <v>33923</v>
      </c>
      <c r="B158" s="211"/>
      <c r="C158" s="8">
        <v>7</v>
      </c>
      <c r="D158" s="10">
        <v>15</v>
      </c>
      <c r="E158" s="10">
        <v>22</v>
      </c>
      <c r="F158" s="10">
        <v>0</v>
      </c>
      <c r="G158" s="10">
        <v>2</v>
      </c>
      <c r="H158" s="10">
        <v>0</v>
      </c>
      <c r="I158" s="10">
        <v>0</v>
      </c>
      <c r="J158" s="10">
        <v>24</v>
      </c>
      <c r="K158" s="59">
        <v>0</v>
      </c>
      <c r="L158" s="59">
        <v>0</v>
      </c>
      <c r="M158" s="59"/>
      <c r="N158" s="59"/>
      <c r="O158" s="10">
        <v>18</v>
      </c>
      <c r="P158" s="59">
        <v>0</v>
      </c>
      <c r="Q158" s="59">
        <v>0</v>
      </c>
      <c r="R158" s="10">
        <v>0</v>
      </c>
      <c r="S158" s="35">
        <f t="shared" si="73"/>
        <v>88</v>
      </c>
      <c r="T158" s="10"/>
      <c r="U158" s="10"/>
      <c r="V158" s="10"/>
      <c r="W158" s="10"/>
      <c r="X158" s="5"/>
      <c r="Y158" s="10"/>
      <c r="Z158" s="8"/>
      <c r="AA158" s="10">
        <v>1255118</v>
      </c>
      <c r="AB158" s="10"/>
      <c r="AC158" s="8"/>
      <c r="AD158" s="10"/>
      <c r="AE158" s="35"/>
      <c r="AF158" s="10"/>
      <c r="AG158" s="8">
        <v>74</v>
      </c>
      <c r="AH158" s="59">
        <v>45</v>
      </c>
      <c r="AI158" s="10">
        <v>156</v>
      </c>
      <c r="AJ158" s="5">
        <v>24</v>
      </c>
      <c r="AK158" s="10"/>
      <c r="AL158" s="8"/>
      <c r="AM158" s="10"/>
      <c r="AN158" s="35"/>
      <c r="AO158" s="10"/>
      <c r="AP158" s="10"/>
      <c r="AQ158" s="35"/>
      <c r="AR158" s="59"/>
      <c r="AS158" s="59"/>
      <c r="AT158" s="59"/>
      <c r="AU158" s="59"/>
      <c r="AV158" s="62"/>
      <c r="AW158" s="10"/>
      <c r="AX158" s="326"/>
      <c r="AY158" s="5"/>
      <c r="AZ158" s="10"/>
      <c r="BA158" s="8"/>
      <c r="BB158" s="10"/>
      <c r="BC158" s="10"/>
      <c r="BD158" s="10"/>
      <c r="BE158" s="10"/>
      <c r="BF158" s="10"/>
      <c r="BG158" s="10"/>
      <c r="BH158" s="30"/>
      <c r="BI158" s="10"/>
      <c r="BJ158" s="338"/>
      <c r="BK158" s="338"/>
      <c r="BL158" s="303"/>
      <c r="BM158" s="5"/>
      <c r="BN158" s="10"/>
      <c r="BO158" s="8"/>
      <c r="BP158" s="5"/>
      <c r="BQ158" s="10"/>
      <c r="BR158" s="29">
        <v>1993</v>
      </c>
      <c r="BS158" s="64">
        <v>1992</v>
      </c>
      <c r="BT158" s="14">
        <v>22</v>
      </c>
      <c r="BU158" s="10"/>
      <c r="BV158" s="8">
        <v>15</v>
      </c>
      <c r="BW158" s="10">
        <v>1</v>
      </c>
      <c r="BX158" s="59"/>
      <c r="BY158" s="59"/>
      <c r="BZ158" s="59"/>
      <c r="CA158" s="59"/>
      <c r="CB158" s="59"/>
      <c r="CC158" s="221"/>
      <c r="CD158" s="10">
        <v>5</v>
      </c>
      <c r="CE158" s="317"/>
      <c r="CF158" s="10">
        <v>0</v>
      </c>
      <c r="CG158" s="10">
        <v>0</v>
      </c>
      <c r="CH158" s="10"/>
      <c r="CI158" s="10">
        <v>13</v>
      </c>
      <c r="CJ158" s="10">
        <v>2</v>
      </c>
      <c r="CK158" s="10"/>
      <c r="CL158" s="10"/>
      <c r="CM158" s="10">
        <v>0</v>
      </c>
      <c r="CN158" s="10"/>
      <c r="CO158" s="10">
        <v>20</v>
      </c>
      <c r="CP158" s="317"/>
      <c r="CQ158" s="10"/>
      <c r="CR158" s="10"/>
      <c r="CS158" s="10">
        <v>1</v>
      </c>
      <c r="CT158" s="10">
        <v>12</v>
      </c>
      <c r="CU158" s="10">
        <v>1</v>
      </c>
      <c r="CV158" s="10">
        <v>3</v>
      </c>
      <c r="CW158" s="10"/>
      <c r="CX158" s="10"/>
      <c r="CY158" s="59">
        <v>0</v>
      </c>
      <c r="CZ158" s="59"/>
      <c r="DA158" s="59"/>
      <c r="DB158" s="10">
        <v>5</v>
      </c>
      <c r="DC158" s="10"/>
      <c r="DD158" s="10"/>
      <c r="DE158" s="10"/>
      <c r="DF158" s="10"/>
      <c r="DG158" s="10">
        <v>2</v>
      </c>
      <c r="DH158" s="10">
        <v>1</v>
      </c>
      <c r="DI158" s="10">
        <v>1</v>
      </c>
      <c r="DJ158" s="59">
        <v>0</v>
      </c>
      <c r="DK158" s="59"/>
      <c r="DL158" s="59"/>
      <c r="DM158" s="10">
        <v>1</v>
      </c>
      <c r="DN158" s="10"/>
      <c r="DO158" s="10">
        <v>2</v>
      </c>
      <c r="DP158" s="10"/>
      <c r="DQ158" s="10"/>
      <c r="DR158" s="10"/>
      <c r="DS158" s="59">
        <v>0</v>
      </c>
      <c r="DT158" s="10">
        <v>3</v>
      </c>
      <c r="DU158" s="10">
        <v>0</v>
      </c>
      <c r="DV158" s="38">
        <f t="shared" si="74"/>
        <v>88</v>
      </c>
      <c r="DW158" s="14" t="str">
        <f t="shared" si="75"/>
        <v/>
      </c>
    </row>
    <row r="159" spans="1:127" customFormat="1">
      <c r="A159" s="210">
        <v>33939</v>
      </c>
      <c r="B159" s="211"/>
      <c r="C159" s="8">
        <v>32</v>
      </c>
      <c r="D159" s="10">
        <v>69</v>
      </c>
      <c r="E159" s="10">
        <v>35</v>
      </c>
      <c r="F159" s="10">
        <v>1</v>
      </c>
      <c r="G159" s="10">
        <v>12</v>
      </c>
      <c r="H159" s="10">
        <v>1</v>
      </c>
      <c r="I159" s="10">
        <v>0</v>
      </c>
      <c r="J159" s="10">
        <v>7</v>
      </c>
      <c r="K159" s="59">
        <v>0</v>
      </c>
      <c r="L159" s="59">
        <v>0</v>
      </c>
      <c r="M159" s="59"/>
      <c r="N159" s="59"/>
      <c r="O159" s="10">
        <v>6</v>
      </c>
      <c r="P159" s="59">
        <v>0</v>
      </c>
      <c r="Q159" s="59">
        <v>0</v>
      </c>
      <c r="R159" s="10">
        <v>0</v>
      </c>
      <c r="S159" s="35">
        <f t="shared" si="73"/>
        <v>163</v>
      </c>
      <c r="T159" s="10"/>
      <c r="U159" s="10"/>
      <c r="V159" s="10"/>
      <c r="W159" s="10"/>
      <c r="X159" s="5"/>
      <c r="Y159" s="10"/>
      <c r="Z159" s="8"/>
      <c r="AA159" s="10">
        <v>2763925</v>
      </c>
      <c r="AB159" s="10"/>
      <c r="AC159" s="8"/>
      <c r="AD159" s="10"/>
      <c r="AE159" s="35"/>
      <c r="AF159" s="10"/>
      <c r="AG159" s="8">
        <v>136</v>
      </c>
      <c r="AH159" s="59">
        <v>1</v>
      </c>
      <c r="AI159" s="10">
        <v>180</v>
      </c>
      <c r="AJ159" s="5">
        <v>28</v>
      </c>
      <c r="AK159" s="10"/>
      <c r="AL159" s="8"/>
      <c r="AM159" s="10"/>
      <c r="AN159" s="35"/>
      <c r="AO159" s="10"/>
      <c r="AP159" s="10"/>
      <c r="AQ159" s="35"/>
      <c r="AR159" s="59"/>
      <c r="AS159" s="59"/>
      <c r="AT159" s="59"/>
      <c r="AU159" s="59"/>
      <c r="AV159" s="62"/>
      <c r="AW159" s="10"/>
      <c r="AX159" s="326"/>
      <c r="AY159" s="5"/>
      <c r="AZ159" s="10"/>
      <c r="BA159" s="8">
        <v>1531</v>
      </c>
      <c r="BB159" s="10"/>
      <c r="BC159" s="10">
        <v>17641472</v>
      </c>
      <c r="BD159" s="10"/>
      <c r="BE159" s="10"/>
      <c r="BF159" s="10"/>
      <c r="BG159" s="10"/>
      <c r="BH159" s="30"/>
      <c r="BI159" s="10"/>
      <c r="BJ159" s="338"/>
      <c r="BK159" s="338"/>
      <c r="BL159" s="303"/>
      <c r="BM159" s="5"/>
      <c r="BN159" s="10"/>
      <c r="BO159" s="8"/>
      <c r="BP159" s="5"/>
      <c r="BQ159" s="10"/>
      <c r="BR159" s="29">
        <v>1993</v>
      </c>
      <c r="BS159" s="64">
        <v>1992</v>
      </c>
      <c r="BT159" s="14">
        <v>23</v>
      </c>
      <c r="BU159" s="10"/>
      <c r="BV159" s="8">
        <v>0</v>
      </c>
      <c r="BW159" s="10">
        <v>0</v>
      </c>
      <c r="BX159" s="59"/>
      <c r="BY159" s="59"/>
      <c r="BZ159" s="59"/>
      <c r="CA159" s="59"/>
      <c r="CB159" s="59"/>
      <c r="CC159" s="221"/>
      <c r="CD159" s="10">
        <v>6</v>
      </c>
      <c r="CE159" s="317"/>
      <c r="CF159" s="10">
        <v>0</v>
      </c>
      <c r="CG159" s="10">
        <v>2</v>
      </c>
      <c r="CH159" s="10"/>
      <c r="CI159" s="10">
        <v>0</v>
      </c>
      <c r="CJ159" s="10">
        <v>11</v>
      </c>
      <c r="CK159" s="10"/>
      <c r="CL159" s="10"/>
      <c r="CM159" s="10">
        <v>0</v>
      </c>
      <c r="CN159" s="10"/>
      <c r="CO159" s="10">
        <v>0</v>
      </c>
      <c r="CP159" s="317"/>
      <c r="CQ159" s="10"/>
      <c r="CR159" s="10"/>
      <c r="CS159" s="10">
        <v>0</v>
      </c>
      <c r="CT159" s="10">
        <v>67</v>
      </c>
      <c r="CU159" s="10">
        <v>4</v>
      </c>
      <c r="CV159" s="10">
        <v>1</v>
      </c>
      <c r="CW159" s="10"/>
      <c r="CX159" s="10"/>
      <c r="CY159" s="59">
        <v>0</v>
      </c>
      <c r="CZ159" s="59"/>
      <c r="DA159" s="59"/>
      <c r="DB159" s="10">
        <v>16</v>
      </c>
      <c r="DC159" s="10"/>
      <c r="DD159" s="10"/>
      <c r="DE159" s="10"/>
      <c r="DF159" s="10"/>
      <c r="DG159" s="10">
        <v>7</v>
      </c>
      <c r="DH159" s="10">
        <v>0</v>
      </c>
      <c r="DI159" s="10">
        <v>0</v>
      </c>
      <c r="DJ159" s="59">
        <v>0</v>
      </c>
      <c r="DK159" s="59"/>
      <c r="DL159" s="59"/>
      <c r="DM159" s="10">
        <v>5</v>
      </c>
      <c r="DN159" s="10"/>
      <c r="DO159" s="10">
        <v>6</v>
      </c>
      <c r="DP159" s="10"/>
      <c r="DQ159" s="10"/>
      <c r="DR159" s="10"/>
      <c r="DS159" s="59">
        <v>0</v>
      </c>
      <c r="DT159" s="10">
        <v>38</v>
      </c>
      <c r="DU159" s="10">
        <v>0</v>
      </c>
      <c r="DV159" s="38">
        <f t="shared" si="74"/>
        <v>163</v>
      </c>
      <c r="DW159" s="14" t="str">
        <f t="shared" si="75"/>
        <v/>
      </c>
    </row>
    <row r="160" spans="1:127" customFormat="1">
      <c r="A160" s="210">
        <v>33953</v>
      </c>
      <c r="B160" s="211"/>
      <c r="C160" s="8">
        <v>3</v>
      </c>
      <c r="D160" s="10">
        <v>32</v>
      </c>
      <c r="E160" s="10">
        <v>4</v>
      </c>
      <c r="F160" s="10">
        <v>1</v>
      </c>
      <c r="G160" s="10">
        <v>1</v>
      </c>
      <c r="H160" s="10">
        <v>0</v>
      </c>
      <c r="I160" s="10">
        <v>0</v>
      </c>
      <c r="J160" s="10">
        <v>40</v>
      </c>
      <c r="K160" s="59">
        <v>0</v>
      </c>
      <c r="L160" s="59">
        <v>0</v>
      </c>
      <c r="M160" s="59"/>
      <c r="N160" s="59"/>
      <c r="O160" s="10">
        <v>46</v>
      </c>
      <c r="P160" s="59">
        <v>0</v>
      </c>
      <c r="Q160" s="59">
        <v>0</v>
      </c>
      <c r="R160" s="10">
        <v>2</v>
      </c>
      <c r="S160" s="35">
        <f t="shared" si="73"/>
        <v>129</v>
      </c>
      <c r="T160" s="10"/>
      <c r="U160" s="10"/>
      <c r="V160" s="10"/>
      <c r="W160" s="10"/>
      <c r="X160" s="5"/>
      <c r="Y160" s="10"/>
      <c r="Z160" s="8"/>
      <c r="AA160" s="10">
        <v>2182960</v>
      </c>
      <c r="AB160" s="10"/>
      <c r="AC160" s="8"/>
      <c r="AD160" s="10"/>
      <c r="AE160" s="35"/>
      <c r="AF160" s="10"/>
      <c r="AG160" s="8">
        <v>85</v>
      </c>
      <c r="AH160" s="59">
        <v>27</v>
      </c>
      <c r="AI160" s="10">
        <v>154</v>
      </c>
      <c r="AJ160" s="5">
        <v>24</v>
      </c>
      <c r="AK160" s="10"/>
      <c r="AL160" s="8"/>
      <c r="AM160" s="10"/>
      <c r="AN160" s="35"/>
      <c r="AO160" s="10"/>
      <c r="AP160" s="10"/>
      <c r="AQ160" s="35"/>
      <c r="AR160" s="59"/>
      <c r="AS160" s="59"/>
      <c r="AT160" s="59"/>
      <c r="AU160" s="59"/>
      <c r="AV160" s="62"/>
      <c r="AW160" s="10"/>
      <c r="AX160" s="326"/>
      <c r="AY160" s="5"/>
      <c r="AZ160" s="10"/>
      <c r="BA160" s="8"/>
      <c r="BB160" s="10"/>
      <c r="BC160" s="10"/>
      <c r="BD160" s="10"/>
      <c r="BE160" s="10"/>
      <c r="BF160" s="10"/>
      <c r="BG160" s="10"/>
      <c r="BH160" s="30"/>
      <c r="BI160" s="10"/>
      <c r="BJ160" s="338"/>
      <c r="BK160" s="338"/>
      <c r="BL160" s="303"/>
      <c r="BM160" s="5"/>
      <c r="BN160" s="10"/>
      <c r="BO160" s="8"/>
      <c r="BP160" s="5"/>
      <c r="BQ160" s="10"/>
      <c r="BR160" s="29">
        <v>1993</v>
      </c>
      <c r="BS160" s="64">
        <v>1992</v>
      </c>
      <c r="BT160" s="14">
        <v>24</v>
      </c>
      <c r="BU160" s="10"/>
      <c r="BV160" s="8">
        <v>13</v>
      </c>
      <c r="BW160" s="10">
        <v>0</v>
      </c>
      <c r="BX160" s="59"/>
      <c r="BY160" s="59"/>
      <c r="BZ160" s="59"/>
      <c r="CA160" s="59"/>
      <c r="CB160" s="59"/>
      <c r="CC160" s="221"/>
      <c r="CD160" s="10">
        <v>5</v>
      </c>
      <c r="CE160" s="317"/>
      <c r="CF160" s="10">
        <v>0</v>
      </c>
      <c r="CG160" s="10">
        <v>0</v>
      </c>
      <c r="CH160" s="10"/>
      <c r="CI160" s="10">
        <v>12</v>
      </c>
      <c r="CJ160" s="10">
        <v>12</v>
      </c>
      <c r="CK160" s="10"/>
      <c r="CL160" s="10"/>
      <c r="CM160" s="10">
        <v>0</v>
      </c>
      <c r="CN160" s="10"/>
      <c r="CO160" s="10">
        <v>13</v>
      </c>
      <c r="CP160" s="317"/>
      <c r="CQ160" s="10"/>
      <c r="CR160" s="10"/>
      <c r="CS160" s="10">
        <v>0</v>
      </c>
      <c r="CT160" s="10">
        <v>21</v>
      </c>
      <c r="CU160" s="10">
        <v>9</v>
      </c>
      <c r="CV160" s="10">
        <v>0</v>
      </c>
      <c r="CW160" s="10"/>
      <c r="CX160" s="10"/>
      <c r="CY160" s="59">
        <v>0</v>
      </c>
      <c r="CZ160" s="59"/>
      <c r="DA160" s="59"/>
      <c r="DB160" s="10">
        <v>4</v>
      </c>
      <c r="DC160" s="10"/>
      <c r="DD160" s="10"/>
      <c r="DE160" s="10"/>
      <c r="DF160" s="10"/>
      <c r="DG160" s="10">
        <v>7</v>
      </c>
      <c r="DH160" s="10">
        <v>0</v>
      </c>
      <c r="DI160" s="10">
        <v>1</v>
      </c>
      <c r="DJ160" s="59">
        <v>0</v>
      </c>
      <c r="DK160" s="59"/>
      <c r="DL160" s="59"/>
      <c r="DM160" s="10">
        <v>27</v>
      </c>
      <c r="DN160" s="10"/>
      <c r="DO160" s="10">
        <v>3</v>
      </c>
      <c r="DP160" s="10"/>
      <c r="DQ160" s="10"/>
      <c r="DR160" s="10"/>
      <c r="DS160" s="59">
        <v>0</v>
      </c>
      <c r="DT160" s="10">
        <v>0</v>
      </c>
      <c r="DU160" s="10">
        <v>2</v>
      </c>
      <c r="DV160" s="38">
        <f t="shared" si="74"/>
        <v>129</v>
      </c>
      <c r="DW160" s="14" t="str">
        <f t="shared" si="75"/>
        <v/>
      </c>
    </row>
    <row r="161" spans="1:127" customFormat="1">
      <c r="A161" s="210">
        <v>33970</v>
      </c>
      <c r="B161" s="211"/>
      <c r="C161" s="8">
        <v>1</v>
      </c>
      <c r="D161" s="10">
        <v>44</v>
      </c>
      <c r="E161" s="10">
        <v>5</v>
      </c>
      <c r="F161" s="10">
        <v>0</v>
      </c>
      <c r="G161" s="10">
        <v>2</v>
      </c>
      <c r="H161" s="10">
        <v>1</v>
      </c>
      <c r="I161" s="10">
        <v>0</v>
      </c>
      <c r="J161" s="10">
        <v>3</v>
      </c>
      <c r="K161" s="59">
        <v>0</v>
      </c>
      <c r="L161" s="59">
        <v>0</v>
      </c>
      <c r="M161" s="59"/>
      <c r="N161" s="59"/>
      <c r="O161" s="10">
        <v>13</v>
      </c>
      <c r="P161" s="59">
        <v>0</v>
      </c>
      <c r="Q161" s="59">
        <v>0</v>
      </c>
      <c r="R161" s="10">
        <v>0</v>
      </c>
      <c r="S161" s="35">
        <f t="shared" si="73"/>
        <v>69</v>
      </c>
      <c r="T161" s="10"/>
      <c r="U161" s="10"/>
      <c r="V161" s="10"/>
      <c r="W161" s="10"/>
      <c r="X161" s="5"/>
      <c r="Y161" s="10"/>
      <c r="Z161" s="8"/>
      <c r="AA161" s="10">
        <v>1497121</v>
      </c>
      <c r="AB161" s="10"/>
      <c r="AC161" s="8"/>
      <c r="AD161" s="10"/>
      <c r="AE161" s="35"/>
      <c r="AF161" s="10"/>
      <c r="AG161" s="8">
        <v>55</v>
      </c>
      <c r="AH161" s="59">
        <v>58</v>
      </c>
      <c r="AI161" s="10">
        <v>148</v>
      </c>
      <c r="AJ161" s="5">
        <v>24</v>
      </c>
      <c r="AK161" s="10"/>
      <c r="AL161" s="8">
        <v>32</v>
      </c>
      <c r="AM161" s="10">
        <v>146</v>
      </c>
      <c r="AN161" s="35">
        <f>SUM(AL161:AM161)</f>
        <v>178</v>
      </c>
      <c r="AO161" s="10">
        <v>154</v>
      </c>
      <c r="AP161" s="10">
        <v>34</v>
      </c>
      <c r="AQ161" s="35">
        <f>SUM(AO161:AP161)</f>
        <v>188</v>
      </c>
      <c r="AR161" s="59"/>
      <c r="AS161" s="59"/>
      <c r="AT161" s="59"/>
      <c r="AU161" s="59"/>
      <c r="AV161" s="62"/>
      <c r="AW161" s="10"/>
      <c r="AX161" s="326"/>
      <c r="AY161" s="5"/>
      <c r="AZ161" s="10"/>
      <c r="BA161" s="8">
        <v>1515</v>
      </c>
      <c r="BB161" s="10"/>
      <c r="BC161" s="10">
        <v>17524736</v>
      </c>
      <c r="BD161" s="10"/>
      <c r="BE161" s="10"/>
      <c r="BF161" s="10"/>
      <c r="BG161" s="10"/>
      <c r="BH161" s="30"/>
      <c r="BI161" s="10"/>
      <c r="BJ161" s="338"/>
      <c r="BK161" s="338"/>
      <c r="BL161" s="303"/>
      <c r="BM161" s="5">
        <f>850+1017+641+773</f>
        <v>3281</v>
      </c>
      <c r="BN161" s="10"/>
      <c r="BO161" s="8"/>
      <c r="BP161" s="5"/>
      <c r="BQ161" s="10"/>
      <c r="BR161" s="29">
        <v>1993</v>
      </c>
      <c r="BS161" s="64">
        <v>1993</v>
      </c>
      <c r="BT161" s="14">
        <v>1</v>
      </c>
      <c r="BU161" s="10"/>
      <c r="BV161" s="8">
        <v>0</v>
      </c>
      <c r="BW161" s="10">
        <v>0</v>
      </c>
      <c r="BX161" s="59"/>
      <c r="BY161" s="59"/>
      <c r="BZ161" s="59"/>
      <c r="CA161" s="59"/>
      <c r="CB161" s="59"/>
      <c r="CC161" s="221"/>
      <c r="CD161" s="10">
        <v>4</v>
      </c>
      <c r="CE161" s="317"/>
      <c r="CF161" s="10">
        <v>0</v>
      </c>
      <c r="CG161" s="10">
        <v>0</v>
      </c>
      <c r="CH161" s="10"/>
      <c r="CI161" s="10">
        <v>6</v>
      </c>
      <c r="CJ161" s="10">
        <v>4</v>
      </c>
      <c r="CK161" s="10"/>
      <c r="CL161" s="10"/>
      <c r="CM161" s="10">
        <v>0</v>
      </c>
      <c r="CN161" s="10"/>
      <c r="CO161" s="10">
        <v>28</v>
      </c>
      <c r="CP161" s="317"/>
      <c r="CQ161" s="10"/>
      <c r="CR161" s="10"/>
      <c r="CS161" s="10">
        <v>0</v>
      </c>
      <c r="CT161" s="10">
        <v>2</v>
      </c>
      <c r="CU161" s="10">
        <v>3</v>
      </c>
      <c r="CV161" s="10">
        <v>2</v>
      </c>
      <c r="CW161" s="10"/>
      <c r="CX161" s="10"/>
      <c r="CY161" s="59">
        <v>0</v>
      </c>
      <c r="CZ161" s="59"/>
      <c r="DA161" s="59"/>
      <c r="DB161" s="10">
        <v>6</v>
      </c>
      <c r="DC161" s="10"/>
      <c r="DD161" s="10"/>
      <c r="DE161" s="10"/>
      <c r="DF161" s="10"/>
      <c r="DG161" s="10">
        <v>6</v>
      </c>
      <c r="DH161" s="10">
        <v>1</v>
      </c>
      <c r="DI161" s="10">
        <v>0</v>
      </c>
      <c r="DJ161" s="59">
        <v>0</v>
      </c>
      <c r="DK161" s="59"/>
      <c r="DL161" s="59"/>
      <c r="DM161" s="10">
        <v>0</v>
      </c>
      <c r="DN161" s="10"/>
      <c r="DO161" s="10">
        <v>6</v>
      </c>
      <c r="DP161" s="10"/>
      <c r="DQ161" s="10"/>
      <c r="DR161" s="10"/>
      <c r="DS161" s="59">
        <v>0</v>
      </c>
      <c r="DT161" s="10">
        <v>1</v>
      </c>
      <c r="DU161" s="10">
        <v>0</v>
      </c>
      <c r="DV161" s="38">
        <f t="shared" si="74"/>
        <v>69</v>
      </c>
      <c r="DW161" s="14" t="str">
        <f t="shared" si="75"/>
        <v/>
      </c>
    </row>
    <row r="162" spans="1:127" customFormat="1">
      <c r="A162" s="210">
        <v>33984</v>
      </c>
      <c r="B162" s="211"/>
      <c r="C162" s="8">
        <v>3</v>
      </c>
      <c r="D162" s="10">
        <v>20</v>
      </c>
      <c r="E162" s="10">
        <v>2</v>
      </c>
      <c r="F162" s="10">
        <v>0</v>
      </c>
      <c r="G162" s="10">
        <v>2</v>
      </c>
      <c r="H162" s="10">
        <v>1</v>
      </c>
      <c r="I162" s="10">
        <v>0</v>
      </c>
      <c r="J162" s="10">
        <v>5</v>
      </c>
      <c r="K162" s="59">
        <v>0</v>
      </c>
      <c r="L162" s="59">
        <v>0</v>
      </c>
      <c r="M162" s="59"/>
      <c r="N162" s="59"/>
      <c r="O162" s="10">
        <v>14</v>
      </c>
      <c r="P162" s="59">
        <v>0</v>
      </c>
      <c r="Q162" s="59">
        <v>0</v>
      </c>
      <c r="R162" s="10">
        <v>0</v>
      </c>
      <c r="S162" s="35">
        <f t="shared" si="73"/>
        <v>47</v>
      </c>
      <c r="T162" s="10"/>
      <c r="U162" s="10"/>
      <c r="V162" s="10"/>
      <c r="W162" s="10"/>
      <c r="X162" s="5"/>
      <c r="Y162" s="10"/>
      <c r="Z162" s="8"/>
      <c r="AA162" s="10">
        <v>900850</v>
      </c>
      <c r="AB162" s="10"/>
      <c r="AC162" s="8"/>
      <c r="AD162" s="10"/>
      <c r="AE162" s="35"/>
      <c r="AF162" s="10"/>
      <c r="AG162" s="8">
        <v>42</v>
      </c>
      <c r="AH162" s="59">
        <v>68</v>
      </c>
      <c r="AI162" s="10">
        <v>146</v>
      </c>
      <c r="AJ162" s="5">
        <v>24</v>
      </c>
      <c r="AK162" s="10"/>
      <c r="AL162" s="8"/>
      <c r="AM162" s="10"/>
      <c r="AN162" s="35"/>
      <c r="AO162" s="10"/>
      <c r="AP162" s="10"/>
      <c r="AQ162" s="35"/>
      <c r="AR162" s="59"/>
      <c r="AS162" s="59"/>
      <c r="AT162" s="59"/>
      <c r="AU162" s="59"/>
      <c r="AV162" s="62"/>
      <c r="AW162" s="10"/>
      <c r="AX162" s="326"/>
      <c r="AY162" s="5"/>
      <c r="AZ162" s="10"/>
      <c r="BA162" s="8"/>
      <c r="BB162" s="10"/>
      <c r="BC162" s="10"/>
      <c r="BD162" s="10"/>
      <c r="BE162" s="10"/>
      <c r="BF162" s="10"/>
      <c r="BG162" s="10"/>
      <c r="BH162" s="30"/>
      <c r="BI162" s="10"/>
      <c r="BJ162" s="338"/>
      <c r="BK162" s="338"/>
      <c r="BL162" s="303"/>
      <c r="BM162" s="5"/>
      <c r="BN162" s="10"/>
      <c r="BO162" s="8"/>
      <c r="BP162" s="5"/>
      <c r="BQ162" s="10"/>
      <c r="BR162" s="29">
        <v>1993</v>
      </c>
      <c r="BS162" s="64">
        <v>1993</v>
      </c>
      <c r="BT162" s="14">
        <v>2</v>
      </c>
      <c r="BU162" s="10"/>
      <c r="BV162" s="8">
        <v>2</v>
      </c>
      <c r="BW162" s="10">
        <v>0</v>
      </c>
      <c r="BX162" s="59"/>
      <c r="BY162" s="59"/>
      <c r="BZ162" s="59"/>
      <c r="CA162" s="59"/>
      <c r="CB162" s="59"/>
      <c r="CC162" s="221"/>
      <c r="CD162" s="10">
        <v>1</v>
      </c>
      <c r="CE162" s="317"/>
      <c r="CF162" s="10">
        <v>0</v>
      </c>
      <c r="CG162" s="10">
        <v>3</v>
      </c>
      <c r="CH162" s="10"/>
      <c r="CI162" s="10">
        <v>3</v>
      </c>
      <c r="CJ162" s="10">
        <v>7</v>
      </c>
      <c r="CK162" s="10"/>
      <c r="CL162" s="10"/>
      <c r="CM162" s="10">
        <v>0</v>
      </c>
      <c r="CN162" s="10"/>
      <c r="CO162" s="10">
        <v>5</v>
      </c>
      <c r="CP162" s="317"/>
      <c r="CQ162" s="10"/>
      <c r="CR162" s="10"/>
      <c r="CS162" s="10">
        <v>0</v>
      </c>
      <c r="CT162" s="10">
        <v>11</v>
      </c>
      <c r="CU162" s="10">
        <v>1</v>
      </c>
      <c r="CV162" s="10">
        <v>1</v>
      </c>
      <c r="CW162" s="10"/>
      <c r="CX162" s="10"/>
      <c r="CY162" s="59">
        <v>0</v>
      </c>
      <c r="CZ162" s="59"/>
      <c r="DA162" s="59"/>
      <c r="DB162" s="10">
        <v>7</v>
      </c>
      <c r="DC162" s="10"/>
      <c r="DD162" s="10"/>
      <c r="DE162" s="10"/>
      <c r="DF162" s="10"/>
      <c r="DG162" s="10">
        <v>0</v>
      </c>
      <c r="DH162" s="10">
        <v>1</v>
      </c>
      <c r="DI162" s="10">
        <v>0</v>
      </c>
      <c r="DJ162" s="59">
        <v>0</v>
      </c>
      <c r="DK162" s="59"/>
      <c r="DL162" s="59"/>
      <c r="DM162" s="10">
        <v>3</v>
      </c>
      <c r="DN162" s="10"/>
      <c r="DO162" s="10">
        <v>2</v>
      </c>
      <c r="DP162" s="10"/>
      <c r="DQ162" s="10"/>
      <c r="DR162" s="10"/>
      <c r="DS162" s="59">
        <v>0</v>
      </c>
      <c r="DT162" s="10">
        <v>0</v>
      </c>
      <c r="DU162" s="10">
        <v>0</v>
      </c>
      <c r="DV162" s="38">
        <f t="shared" si="74"/>
        <v>47</v>
      </c>
      <c r="DW162" s="14" t="str">
        <f t="shared" si="75"/>
        <v/>
      </c>
    </row>
    <row r="163" spans="1:127" customFormat="1">
      <c r="A163" s="210">
        <v>34001</v>
      </c>
      <c r="B163" s="211"/>
      <c r="C163" s="8">
        <v>1</v>
      </c>
      <c r="D163" s="10">
        <v>12</v>
      </c>
      <c r="E163" s="10">
        <v>0</v>
      </c>
      <c r="F163" s="10">
        <v>0</v>
      </c>
      <c r="G163" s="10">
        <v>1</v>
      </c>
      <c r="H163" s="10">
        <v>2</v>
      </c>
      <c r="I163" s="10">
        <v>0</v>
      </c>
      <c r="J163" s="10">
        <v>2</v>
      </c>
      <c r="K163" s="59">
        <v>0</v>
      </c>
      <c r="L163" s="59">
        <v>0</v>
      </c>
      <c r="M163" s="59"/>
      <c r="N163" s="59"/>
      <c r="O163" s="10">
        <v>7</v>
      </c>
      <c r="P163" s="59">
        <v>0</v>
      </c>
      <c r="Q163" s="59">
        <v>0</v>
      </c>
      <c r="R163" s="10">
        <v>0</v>
      </c>
      <c r="S163" s="35">
        <f t="shared" si="73"/>
        <v>25</v>
      </c>
      <c r="T163" s="10"/>
      <c r="U163" s="10"/>
      <c r="V163" s="10"/>
      <c r="W163" s="10"/>
      <c r="X163" s="5"/>
      <c r="Y163" s="10"/>
      <c r="Z163" s="8"/>
      <c r="AA163" s="10">
        <v>689411</v>
      </c>
      <c r="AB163" s="10"/>
      <c r="AC163" s="8"/>
      <c r="AD163" s="10"/>
      <c r="AE163" s="35"/>
      <c r="AF163" s="10"/>
      <c r="AG163" s="8">
        <v>109</v>
      </c>
      <c r="AH163" s="59">
        <v>7</v>
      </c>
      <c r="AI163" s="10">
        <v>152</v>
      </c>
      <c r="AJ163" s="5">
        <v>20</v>
      </c>
      <c r="AK163" s="10"/>
      <c r="AL163" s="8"/>
      <c r="AM163" s="10"/>
      <c r="AN163" s="35"/>
      <c r="AO163" s="10"/>
      <c r="AP163" s="10"/>
      <c r="AQ163" s="35"/>
      <c r="AR163" s="59"/>
      <c r="AS163" s="59"/>
      <c r="AT163" s="59"/>
      <c r="AU163" s="59"/>
      <c r="AV163" s="62"/>
      <c r="AW163" s="10"/>
      <c r="AX163" s="326"/>
      <c r="AY163" s="5"/>
      <c r="AZ163" s="10"/>
      <c r="BA163" s="8"/>
      <c r="BB163" s="10"/>
      <c r="BC163" s="10"/>
      <c r="BD163" s="10"/>
      <c r="BE163" s="10"/>
      <c r="BF163" s="10"/>
      <c r="BG163" s="10"/>
      <c r="BH163" s="30"/>
      <c r="BI163" s="10"/>
      <c r="BJ163" s="338"/>
      <c r="BK163" s="338"/>
      <c r="BL163" s="303"/>
      <c r="BM163" s="5"/>
      <c r="BN163" s="10"/>
      <c r="BO163" s="8"/>
      <c r="BP163" s="5"/>
      <c r="BQ163" s="10"/>
      <c r="BR163" s="29">
        <v>1993</v>
      </c>
      <c r="BS163" s="64">
        <v>1993</v>
      </c>
      <c r="BT163" s="14">
        <v>3</v>
      </c>
      <c r="BU163" s="10"/>
      <c r="BV163" s="8">
        <v>0</v>
      </c>
      <c r="BW163" s="10">
        <v>0</v>
      </c>
      <c r="BX163" s="59"/>
      <c r="BY163" s="59"/>
      <c r="BZ163" s="59"/>
      <c r="CA163" s="59"/>
      <c r="CB163" s="59"/>
      <c r="CC163" s="221"/>
      <c r="CD163" s="10">
        <v>8</v>
      </c>
      <c r="CE163" s="317"/>
      <c r="CF163" s="10">
        <v>0</v>
      </c>
      <c r="CG163" s="10">
        <v>2</v>
      </c>
      <c r="CH163" s="10"/>
      <c r="CI163" s="10">
        <v>1</v>
      </c>
      <c r="CJ163" s="10">
        <v>0</v>
      </c>
      <c r="CK163" s="10"/>
      <c r="CL163" s="10"/>
      <c r="CM163" s="10">
        <v>0</v>
      </c>
      <c r="CN163" s="10"/>
      <c r="CO163" s="10">
        <v>0</v>
      </c>
      <c r="CP163" s="317"/>
      <c r="CQ163" s="10"/>
      <c r="CR163" s="10"/>
      <c r="CS163" s="10">
        <v>0</v>
      </c>
      <c r="CT163" s="10">
        <v>2</v>
      </c>
      <c r="CU163" s="10">
        <v>0</v>
      </c>
      <c r="CV163" s="10">
        <v>0</v>
      </c>
      <c r="CW163" s="10"/>
      <c r="CX163" s="10"/>
      <c r="CY163" s="59">
        <v>0</v>
      </c>
      <c r="CZ163" s="59"/>
      <c r="DA163" s="59"/>
      <c r="DB163" s="10">
        <v>9</v>
      </c>
      <c r="DC163" s="10"/>
      <c r="DD163" s="10"/>
      <c r="DE163" s="10"/>
      <c r="DF163" s="10"/>
      <c r="DG163" s="10">
        <v>0</v>
      </c>
      <c r="DH163" s="10">
        <v>2</v>
      </c>
      <c r="DI163" s="10">
        <v>0</v>
      </c>
      <c r="DJ163" s="59">
        <v>0</v>
      </c>
      <c r="DK163" s="59"/>
      <c r="DL163" s="59"/>
      <c r="DM163" s="10">
        <v>0</v>
      </c>
      <c r="DN163" s="10"/>
      <c r="DO163" s="10">
        <v>1</v>
      </c>
      <c r="DP163" s="10"/>
      <c r="DQ163" s="10"/>
      <c r="DR163" s="10"/>
      <c r="DS163" s="59">
        <v>0</v>
      </c>
      <c r="DT163" s="10">
        <v>0</v>
      </c>
      <c r="DU163" s="10">
        <v>0</v>
      </c>
      <c r="DV163" s="38">
        <f t="shared" si="74"/>
        <v>25</v>
      </c>
      <c r="DW163" s="14" t="str">
        <f t="shared" si="75"/>
        <v/>
      </c>
    </row>
    <row r="164" spans="1:127" customFormat="1">
      <c r="A164" s="210">
        <v>34015</v>
      </c>
      <c r="B164" s="211"/>
      <c r="C164" s="8">
        <v>24</v>
      </c>
      <c r="D164" s="10">
        <v>20</v>
      </c>
      <c r="E164" s="10">
        <v>5</v>
      </c>
      <c r="F164" s="10">
        <v>1</v>
      </c>
      <c r="G164" s="10">
        <v>5</v>
      </c>
      <c r="H164" s="10">
        <v>2</v>
      </c>
      <c r="I164" s="10">
        <v>0</v>
      </c>
      <c r="J164" s="10">
        <v>10</v>
      </c>
      <c r="K164" s="59">
        <v>0</v>
      </c>
      <c r="L164" s="59">
        <v>0</v>
      </c>
      <c r="M164" s="59"/>
      <c r="N164" s="59"/>
      <c r="O164" s="10">
        <v>18</v>
      </c>
      <c r="P164" s="59">
        <v>0</v>
      </c>
      <c r="Q164" s="59">
        <v>0</v>
      </c>
      <c r="R164" s="10">
        <v>3</v>
      </c>
      <c r="S164" s="35">
        <f t="shared" si="73"/>
        <v>88</v>
      </c>
      <c r="T164" s="10"/>
      <c r="U164" s="10"/>
      <c r="V164" s="10"/>
      <c r="W164" s="10"/>
      <c r="X164" s="5"/>
      <c r="Y164" s="10"/>
      <c r="Z164" s="8"/>
      <c r="AA164" s="10">
        <v>1734255</v>
      </c>
      <c r="AB164" s="10"/>
      <c r="AC164" s="8"/>
      <c r="AD164" s="10"/>
      <c r="AE164" s="35"/>
      <c r="AF164" s="10"/>
      <c r="AG164" s="8">
        <v>105</v>
      </c>
      <c r="AH164" s="59">
        <v>10</v>
      </c>
      <c r="AI164" s="10">
        <v>154</v>
      </c>
      <c r="AJ164" s="5">
        <v>24</v>
      </c>
      <c r="AK164" s="10"/>
      <c r="AL164" s="8"/>
      <c r="AM164" s="10"/>
      <c r="AN164" s="35"/>
      <c r="AO164" s="10"/>
      <c r="AP164" s="10"/>
      <c r="AQ164" s="35"/>
      <c r="AR164" s="59"/>
      <c r="AS164" s="59"/>
      <c r="AT164" s="59"/>
      <c r="AU164" s="59"/>
      <c r="AV164" s="62"/>
      <c r="AW164" s="10"/>
      <c r="AX164" s="326"/>
      <c r="AY164" s="5"/>
      <c r="AZ164" s="10"/>
      <c r="BA164" s="8"/>
      <c r="BB164" s="10"/>
      <c r="BC164" s="10"/>
      <c r="BD164" s="10"/>
      <c r="BE164" s="10"/>
      <c r="BF164" s="10"/>
      <c r="BG164" s="10"/>
      <c r="BH164" s="30"/>
      <c r="BI164" s="10"/>
      <c r="BJ164" s="338"/>
      <c r="BK164" s="338"/>
      <c r="BL164" s="303"/>
      <c r="BM164" s="5"/>
      <c r="BN164" s="10"/>
      <c r="BO164" s="8"/>
      <c r="BP164" s="5"/>
      <c r="BQ164" s="10"/>
      <c r="BR164" s="29">
        <v>1993</v>
      </c>
      <c r="BS164" s="64">
        <v>1993</v>
      </c>
      <c r="BT164" s="14">
        <v>4</v>
      </c>
      <c r="BU164" s="10"/>
      <c r="BV164" s="8">
        <v>0</v>
      </c>
      <c r="BW164" s="10">
        <v>0</v>
      </c>
      <c r="BX164" s="59"/>
      <c r="BY164" s="59"/>
      <c r="BZ164" s="59"/>
      <c r="CA164" s="59"/>
      <c r="CB164" s="59"/>
      <c r="CC164" s="221"/>
      <c r="CD164" s="10">
        <v>0</v>
      </c>
      <c r="CE164" s="317"/>
      <c r="CF164" s="10">
        <v>0</v>
      </c>
      <c r="CG164" s="10">
        <v>1</v>
      </c>
      <c r="CH164" s="10"/>
      <c r="CI164" s="10">
        <v>0</v>
      </c>
      <c r="CJ164" s="10">
        <v>30</v>
      </c>
      <c r="CK164" s="10"/>
      <c r="CL164" s="10"/>
      <c r="CM164" s="10">
        <v>0</v>
      </c>
      <c r="CN164" s="10"/>
      <c r="CO164" s="10">
        <v>0</v>
      </c>
      <c r="CP164" s="317"/>
      <c r="CQ164" s="10"/>
      <c r="CR164" s="10"/>
      <c r="CS164" s="10">
        <v>0</v>
      </c>
      <c r="CT164" s="10">
        <v>2</v>
      </c>
      <c r="CU164" s="10">
        <v>2</v>
      </c>
      <c r="CV164" s="10">
        <v>6</v>
      </c>
      <c r="CW164" s="10"/>
      <c r="CX164" s="10"/>
      <c r="CY164" s="59">
        <v>0</v>
      </c>
      <c r="CZ164" s="59"/>
      <c r="DA164" s="59"/>
      <c r="DB164" s="10">
        <v>22</v>
      </c>
      <c r="DC164" s="10"/>
      <c r="DD164" s="10"/>
      <c r="DE164" s="10"/>
      <c r="DF164" s="10"/>
      <c r="DG164" s="10">
        <v>10</v>
      </c>
      <c r="DH164" s="10">
        <v>2</v>
      </c>
      <c r="DI164" s="10">
        <v>0</v>
      </c>
      <c r="DJ164" s="59">
        <v>0</v>
      </c>
      <c r="DK164" s="59"/>
      <c r="DL164" s="59"/>
      <c r="DM164" s="10">
        <v>1</v>
      </c>
      <c r="DN164" s="10"/>
      <c r="DO164" s="10">
        <v>6</v>
      </c>
      <c r="DP164" s="10"/>
      <c r="DQ164" s="10"/>
      <c r="DR164" s="10"/>
      <c r="DS164" s="59">
        <v>0</v>
      </c>
      <c r="DT164" s="10">
        <v>3</v>
      </c>
      <c r="DU164" s="10">
        <v>3</v>
      </c>
      <c r="DV164" s="38">
        <f t="shared" si="74"/>
        <v>88</v>
      </c>
      <c r="DW164" s="14" t="str">
        <f t="shared" si="75"/>
        <v/>
      </c>
    </row>
    <row r="165" spans="1:127" customFormat="1">
      <c r="A165" s="210">
        <v>34029</v>
      </c>
      <c r="B165" s="211"/>
      <c r="C165" s="8">
        <v>0</v>
      </c>
      <c r="D165" s="10">
        <v>23</v>
      </c>
      <c r="E165" s="10">
        <v>7</v>
      </c>
      <c r="F165" s="10">
        <v>0</v>
      </c>
      <c r="G165" s="10">
        <v>4</v>
      </c>
      <c r="H165" s="10">
        <v>1</v>
      </c>
      <c r="I165" s="10">
        <v>0</v>
      </c>
      <c r="J165" s="10">
        <v>0</v>
      </c>
      <c r="K165" s="59">
        <v>0</v>
      </c>
      <c r="L165" s="59">
        <v>0</v>
      </c>
      <c r="M165" s="59"/>
      <c r="N165" s="59"/>
      <c r="O165" s="10">
        <v>21</v>
      </c>
      <c r="P165" s="59">
        <v>0</v>
      </c>
      <c r="Q165" s="59">
        <v>0</v>
      </c>
      <c r="R165" s="10">
        <v>2</v>
      </c>
      <c r="S165" s="35">
        <f t="shared" si="73"/>
        <v>58</v>
      </c>
      <c r="T165" s="10"/>
      <c r="U165" s="10"/>
      <c r="V165" s="10"/>
      <c r="W165" s="10"/>
      <c r="X165" s="5"/>
      <c r="Y165" s="10"/>
      <c r="Z165" s="8"/>
      <c r="AA165" s="10">
        <v>941633</v>
      </c>
      <c r="AB165" s="10"/>
      <c r="AC165" s="8"/>
      <c r="AD165" s="10"/>
      <c r="AE165" s="35"/>
      <c r="AF165" s="10"/>
      <c r="AG165" s="8">
        <v>114</v>
      </c>
      <c r="AH165" s="59">
        <v>11</v>
      </c>
      <c r="AI165" s="10">
        <v>166</v>
      </c>
      <c r="AJ165" s="5">
        <v>16</v>
      </c>
      <c r="AK165" s="10"/>
      <c r="AL165" s="8"/>
      <c r="AM165" s="10"/>
      <c r="AN165" s="35"/>
      <c r="AO165" s="10"/>
      <c r="AP165" s="10"/>
      <c r="AQ165" s="35"/>
      <c r="AR165" s="59"/>
      <c r="AS165" s="59"/>
      <c r="AT165" s="59"/>
      <c r="AU165" s="59"/>
      <c r="AV165" s="62"/>
      <c r="AW165" s="10"/>
      <c r="AX165" s="326"/>
      <c r="AY165" s="5"/>
      <c r="AZ165" s="10"/>
      <c r="BA165" s="8"/>
      <c r="BB165" s="10"/>
      <c r="BC165" s="10"/>
      <c r="BD165" s="10"/>
      <c r="BE165" s="10"/>
      <c r="BF165" s="10"/>
      <c r="BG165" s="10"/>
      <c r="BH165" s="30"/>
      <c r="BI165" s="10"/>
      <c r="BJ165" s="338"/>
      <c r="BK165" s="338"/>
      <c r="BL165" s="303"/>
      <c r="BM165" s="5"/>
      <c r="BN165" s="10"/>
      <c r="BO165" s="8"/>
      <c r="BP165" s="5"/>
      <c r="BQ165" s="10"/>
      <c r="BR165" s="29">
        <v>1993</v>
      </c>
      <c r="BS165" s="64">
        <v>1993</v>
      </c>
      <c r="BT165" s="14">
        <v>5</v>
      </c>
      <c r="BU165" s="10"/>
      <c r="BV165" s="8">
        <v>0</v>
      </c>
      <c r="BW165" s="10">
        <v>0</v>
      </c>
      <c r="BX165" s="59"/>
      <c r="BY165" s="59"/>
      <c r="BZ165" s="59"/>
      <c r="CA165" s="59"/>
      <c r="CB165" s="59"/>
      <c r="CC165" s="221"/>
      <c r="CD165" s="10">
        <v>5</v>
      </c>
      <c r="CE165" s="317"/>
      <c r="CF165" s="10">
        <v>0</v>
      </c>
      <c r="CG165" s="10">
        <v>0</v>
      </c>
      <c r="CH165" s="10"/>
      <c r="CI165" s="10">
        <v>0</v>
      </c>
      <c r="CJ165" s="10">
        <v>18</v>
      </c>
      <c r="CK165" s="10"/>
      <c r="CL165" s="10"/>
      <c r="CM165" s="10">
        <v>0</v>
      </c>
      <c r="CN165" s="10"/>
      <c r="CO165" s="10">
        <v>1</v>
      </c>
      <c r="CP165" s="317"/>
      <c r="CQ165" s="10"/>
      <c r="CR165" s="10"/>
      <c r="CS165" s="10">
        <v>0</v>
      </c>
      <c r="CT165" s="10">
        <v>11</v>
      </c>
      <c r="CU165" s="10">
        <v>0</v>
      </c>
      <c r="CV165" s="10">
        <v>0</v>
      </c>
      <c r="CW165" s="10"/>
      <c r="CX165" s="10"/>
      <c r="CY165" s="59">
        <v>0</v>
      </c>
      <c r="CZ165" s="59"/>
      <c r="DA165" s="59"/>
      <c r="DB165" s="10">
        <v>3</v>
      </c>
      <c r="DC165" s="10"/>
      <c r="DD165" s="10"/>
      <c r="DE165" s="10"/>
      <c r="DF165" s="10"/>
      <c r="DG165" s="10">
        <v>4</v>
      </c>
      <c r="DH165" s="10">
        <v>0</v>
      </c>
      <c r="DI165" s="10">
        <v>0</v>
      </c>
      <c r="DJ165" s="59">
        <v>0</v>
      </c>
      <c r="DK165" s="59"/>
      <c r="DL165" s="59"/>
      <c r="DM165" s="10">
        <v>2</v>
      </c>
      <c r="DN165" s="10"/>
      <c r="DO165" s="10">
        <v>5</v>
      </c>
      <c r="DP165" s="10"/>
      <c r="DQ165" s="10"/>
      <c r="DR165" s="10"/>
      <c r="DS165" s="59">
        <v>0</v>
      </c>
      <c r="DT165" s="10">
        <v>7</v>
      </c>
      <c r="DU165" s="10">
        <v>2</v>
      </c>
      <c r="DV165" s="38">
        <f t="shared" si="74"/>
        <v>58</v>
      </c>
      <c r="DW165" s="14" t="str">
        <f t="shared" si="75"/>
        <v/>
      </c>
    </row>
    <row r="166" spans="1:127" customFormat="1">
      <c r="A166" s="210">
        <v>34043</v>
      </c>
      <c r="B166" s="211"/>
      <c r="C166" s="8">
        <v>1</v>
      </c>
      <c r="D166" s="10">
        <v>15</v>
      </c>
      <c r="E166" s="10">
        <v>12</v>
      </c>
      <c r="F166" s="10">
        <v>0</v>
      </c>
      <c r="G166" s="10">
        <v>5</v>
      </c>
      <c r="H166" s="10">
        <v>0</v>
      </c>
      <c r="I166" s="10">
        <v>0</v>
      </c>
      <c r="J166" s="10">
        <v>33</v>
      </c>
      <c r="K166" s="59">
        <v>0</v>
      </c>
      <c r="L166" s="59">
        <v>0</v>
      </c>
      <c r="M166" s="59"/>
      <c r="N166" s="59"/>
      <c r="O166" s="10">
        <v>4</v>
      </c>
      <c r="P166" s="59">
        <v>0</v>
      </c>
      <c r="Q166" s="59">
        <v>0</v>
      </c>
      <c r="R166" s="10">
        <v>0</v>
      </c>
      <c r="S166" s="35">
        <f t="shared" si="73"/>
        <v>70</v>
      </c>
      <c r="T166" s="10"/>
      <c r="U166" s="10"/>
      <c r="V166" s="10"/>
      <c r="W166" s="10"/>
      <c r="X166" s="5"/>
      <c r="Y166" s="10"/>
      <c r="Z166" s="8"/>
      <c r="AA166" s="10">
        <v>404865</v>
      </c>
      <c r="AB166" s="10"/>
      <c r="AC166" s="8"/>
      <c r="AD166" s="10"/>
      <c r="AE166" s="35"/>
      <c r="AF166" s="10"/>
      <c r="AG166" s="8">
        <v>91</v>
      </c>
      <c r="AH166" s="59">
        <v>14</v>
      </c>
      <c r="AI166" s="10">
        <v>144</v>
      </c>
      <c r="AJ166" s="5">
        <v>20</v>
      </c>
      <c r="AK166" s="10"/>
      <c r="AL166" s="8"/>
      <c r="AM166" s="10"/>
      <c r="AN166" s="35"/>
      <c r="AO166" s="10"/>
      <c r="AP166" s="10"/>
      <c r="AQ166" s="35"/>
      <c r="AR166" s="59"/>
      <c r="AS166" s="59"/>
      <c r="AT166" s="59"/>
      <c r="AU166" s="59"/>
      <c r="AV166" s="62"/>
      <c r="AW166" s="10"/>
      <c r="AX166" s="326"/>
      <c r="AY166" s="5"/>
      <c r="AZ166" s="10"/>
      <c r="BA166" s="8"/>
      <c r="BB166" s="10"/>
      <c r="BC166" s="10"/>
      <c r="BD166" s="10"/>
      <c r="BE166" s="10"/>
      <c r="BF166" s="10"/>
      <c r="BG166" s="10"/>
      <c r="BH166" s="30"/>
      <c r="BI166" s="10"/>
      <c r="BJ166" s="338"/>
      <c r="BK166" s="338"/>
      <c r="BL166" s="303"/>
      <c r="BM166" s="5"/>
      <c r="BN166" s="10"/>
      <c r="BO166" s="8"/>
      <c r="BP166" s="5"/>
      <c r="BQ166" s="10"/>
      <c r="BR166" s="29">
        <v>1993</v>
      </c>
      <c r="BS166" s="64">
        <v>1993</v>
      </c>
      <c r="BT166" s="14">
        <v>6</v>
      </c>
      <c r="BU166" s="10"/>
      <c r="BV166" s="8">
        <v>0</v>
      </c>
      <c r="BW166" s="10">
        <v>1</v>
      </c>
      <c r="BX166" s="59"/>
      <c r="BY166" s="59"/>
      <c r="BZ166" s="59"/>
      <c r="CA166" s="59"/>
      <c r="CB166" s="59"/>
      <c r="CC166" s="221"/>
      <c r="CD166" s="10">
        <v>5</v>
      </c>
      <c r="CE166" s="317"/>
      <c r="CF166" s="10">
        <v>2</v>
      </c>
      <c r="CG166" s="10">
        <v>0</v>
      </c>
      <c r="CH166" s="10"/>
      <c r="CI166" s="10">
        <v>9</v>
      </c>
      <c r="CJ166" s="10">
        <v>2</v>
      </c>
      <c r="CK166" s="10"/>
      <c r="CL166" s="10"/>
      <c r="CM166" s="10">
        <v>0</v>
      </c>
      <c r="CN166" s="10"/>
      <c r="CO166" s="10">
        <v>33</v>
      </c>
      <c r="CP166" s="317"/>
      <c r="CQ166" s="10"/>
      <c r="CR166" s="10"/>
      <c r="CS166" s="10">
        <v>0</v>
      </c>
      <c r="CT166" s="10">
        <v>7</v>
      </c>
      <c r="CU166" s="10">
        <v>0</v>
      </c>
      <c r="CV166" s="10">
        <v>0</v>
      </c>
      <c r="CW166" s="10"/>
      <c r="CX166" s="10"/>
      <c r="CY166" s="59">
        <v>0</v>
      </c>
      <c r="CZ166" s="59"/>
      <c r="DA166" s="59"/>
      <c r="DB166" s="10">
        <v>0</v>
      </c>
      <c r="DC166" s="10"/>
      <c r="DD166" s="10"/>
      <c r="DE166" s="10"/>
      <c r="DF166" s="10"/>
      <c r="DG166" s="10">
        <v>5</v>
      </c>
      <c r="DH166" s="10">
        <v>0</v>
      </c>
      <c r="DI166" s="10">
        <v>0</v>
      </c>
      <c r="DJ166" s="59">
        <v>0</v>
      </c>
      <c r="DK166" s="59"/>
      <c r="DL166" s="59"/>
      <c r="DM166" s="10">
        <v>5</v>
      </c>
      <c r="DN166" s="10"/>
      <c r="DO166" s="10">
        <v>1</v>
      </c>
      <c r="DP166" s="10"/>
      <c r="DQ166" s="10"/>
      <c r="DR166" s="10"/>
      <c r="DS166" s="59">
        <v>0</v>
      </c>
      <c r="DT166" s="10">
        <v>0</v>
      </c>
      <c r="DU166" s="10">
        <v>0</v>
      </c>
      <c r="DV166" s="38">
        <f t="shared" si="74"/>
        <v>70</v>
      </c>
      <c r="DW166" s="14" t="str">
        <f t="shared" si="75"/>
        <v/>
      </c>
    </row>
    <row r="167" spans="1:127" customFormat="1">
      <c r="A167" s="210">
        <v>34060</v>
      </c>
      <c r="B167" s="211"/>
      <c r="C167" s="8">
        <v>3</v>
      </c>
      <c r="D167" s="10">
        <v>14</v>
      </c>
      <c r="E167" s="10">
        <v>2</v>
      </c>
      <c r="F167" s="10">
        <v>0</v>
      </c>
      <c r="G167" s="10">
        <v>0</v>
      </c>
      <c r="H167" s="10">
        <v>0</v>
      </c>
      <c r="I167" s="10">
        <v>0</v>
      </c>
      <c r="J167" s="10">
        <v>1</v>
      </c>
      <c r="K167" s="59">
        <v>0</v>
      </c>
      <c r="L167" s="59">
        <v>0</v>
      </c>
      <c r="M167" s="59"/>
      <c r="N167" s="59"/>
      <c r="O167" s="10">
        <v>4</v>
      </c>
      <c r="P167" s="59">
        <v>0</v>
      </c>
      <c r="Q167" s="59">
        <v>0</v>
      </c>
      <c r="R167" s="10">
        <v>0</v>
      </c>
      <c r="S167" s="35">
        <f t="shared" si="73"/>
        <v>24</v>
      </c>
      <c r="T167" s="10"/>
      <c r="U167" s="10"/>
      <c r="V167" s="10"/>
      <c r="W167" s="10"/>
      <c r="X167" s="5"/>
      <c r="Y167" s="10"/>
      <c r="Z167" s="8"/>
      <c r="AA167" s="10">
        <v>332955</v>
      </c>
      <c r="AB167" s="10"/>
      <c r="AC167" s="8"/>
      <c r="AD167" s="10"/>
      <c r="AE167" s="35"/>
      <c r="AF167" s="10"/>
      <c r="AG167" s="8">
        <v>59</v>
      </c>
      <c r="AH167" s="59">
        <v>16</v>
      </c>
      <c r="AI167" s="10">
        <v>98</v>
      </c>
      <c r="AJ167" s="5">
        <v>16</v>
      </c>
      <c r="AK167" s="10"/>
      <c r="AL167" s="8"/>
      <c r="AM167" s="10"/>
      <c r="AN167" s="35"/>
      <c r="AO167" s="10"/>
      <c r="AP167" s="10"/>
      <c r="AQ167" s="35"/>
      <c r="AR167" s="59"/>
      <c r="AS167" s="59"/>
      <c r="AT167" s="59"/>
      <c r="AU167" s="59"/>
      <c r="AV167" s="62"/>
      <c r="AW167" s="10"/>
      <c r="AX167" s="326"/>
      <c r="AY167" s="5"/>
      <c r="AZ167" s="10"/>
      <c r="BA167" s="8"/>
      <c r="BB167" s="10"/>
      <c r="BC167" s="10"/>
      <c r="BD167" s="10"/>
      <c r="BE167" s="10"/>
      <c r="BF167" s="10"/>
      <c r="BG167" s="10"/>
      <c r="BH167" s="30"/>
      <c r="BI167" s="10"/>
      <c r="BJ167" s="338"/>
      <c r="BK167" s="338"/>
      <c r="BL167" s="303"/>
      <c r="BM167" s="5"/>
      <c r="BN167" s="10"/>
      <c r="BO167" s="8"/>
      <c r="BP167" s="5"/>
      <c r="BQ167" s="10"/>
      <c r="BR167" s="29">
        <v>1993</v>
      </c>
      <c r="BS167" s="64">
        <v>1993</v>
      </c>
      <c r="BT167" s="14">
        <v>7</v>
      </c>
      <c r="BU167" s="10"/>
      <c r="BV167" s="8">
        <v>0</v>
      </c>
      <c r="BW167" s="10">
        <v>1</v>
      </c>
      <c r="BX167" s="59"/>
      <c r="BY167" s="59"/>
      <c r="BZ167" s="59"/>
      <c r="CA167" s="59"/>
      <c r="CB167" s="59"/>
      <c r="CC167" s="221"/>
      <c r="CD167" s="10">
        <v>3</v>
      </c>
      <c r="CE167" s="317"/>
      <c r="CF167" s="10">
        <v>0</v>
      </c>
      <c r="CG167" s="10">
        <v>0</v>
      </c>
      <c r="CH167" s="10"/>
      <c r="CI167" s="10">
        <v>0</v>
      </c>
      <c r="CJ167" s="10">
        <v>0</v>
      </c>
      <c r="CK167" s="10"/>
      <c r="CL167" s="10"/>
      <c r="CM167" s="10">
        <v>0</v>
      </c>
      <c r="CN167" s="10"/>
      <c r="CO167" s="10">
        <v>0</v>
      </c>
      <c r="CP167" s="317"/>
      <c r="CQ167" s="10"/>
      <c r="CR167" s="10"/>
      <c r="CS167" s="10">
        <v>0</v>
      </c>
      <c r="CT167" s="10">
        <v>2</v>
      </c>
      <c r="CU167" s="10">
        <v>0</v>
      </c>
      <c r="CV167" s="10">
        <v>2</v>
      </c>
      <c r="CW167" s="10"/>
      <c r="CX167" s="10"/>
      <c r="CY167" s="59">
        <v>0</v>
      </c>
      <c r="CZ167" s="59"/>
      <c r="DA167" s="59"/>
      <c r="DB167" s="10">
        <v>9</v>
      </c>
      <c r="DC167" s="10"/>
      <c r="DD167" s="10"/>
      <c r="DE167" s="10"/>
      <c r="DF167" s="10"/>
      <c r="DG167" s="10">
        <v>0</v>
      </c>
      <c r="DH167" s="10">
        <v>2</v>
      </c>
      <c r="DI167" s="10">
        <v>0</v>
      </c>
      <c r="DJ167" s="59">
        <v>0</v>
      </c>
      <c r="DK167" s="59"/>
      <c r="DL167" s="59"/>
      <c r="DM167" s="10">
        <v>4</v>
      </c>
      <c r="DN167" s="10"/>
      <c r="DO167" s="10">
        <v>0</v>
      </c>
      <c r="DP167" s="10"/>
      <c r="DQ167" s="10"/>
      <c r="DR167" s="10"/>
      <c r="DS167" s="59">
        <v>0</v>
      </c>
      <c r="DT167" s="10">
        <v>1</v>
      </c>
      <c r="DU167" s="10">
        <v>0</v>
      </c>
      <c r="DV167" s="38">
        <f t="shared" si="74"/>
        <v>24</v>
      </c>
      <c r="DW167" s="14" t="str">
        <f t="shared" si="75"/>
        <v/>
      </c>
    </row>
    <row r="168" spans="1:127" customFormat="1">
      <c r="A168" s="210">
        <v>34074</v>
      </c>
      <c r="B168" s="211"/>
      <c r="C168" s="8">
        <v>4</v>
      </c>
      <c r="D168" s="10">
        <v>13</v>
      </c>
      <c r="E168" s="10">
        <v>9</v>
      </c>
      <c r="F168" s="10">
        <v>0</v>
      </c>
      <c r="G168" s="10">
        <v>3</v>
      </c>
      <c r="H168" s="10">
        <v>0</v>
      </c>
      <c r="I168" s="10">
        <v>0</v>
      </c>
      <c r="J168" s="10">
        <v>6</v>
      </c>
      <c r="K168" s="59">
        <v>0</v>
      </c>
      <c r="L168" s="59">
        <v>0</v>
      </c>
      <c r="M168" s="59"/>
      <c r="N168" s="59"/>
      <c r="O168" s="10">
        <v>10</v>
      </c>
      <c r="P168" s="59">
        <v>0</v>
      </c>
      <c r="Q168" s="59">
        <v>0</v>
      </c>
      <c r="R168" s="10">
        <v>0</v>
      </c>
      <c r="S168" s="35">
        <f t="shared" si="73"/>
        <v>45</v>
      </c>
      <c r="T168" s="10"/>
      <c r="U168" s="10"/>
      <c r="V168" s="10"/>
      <c r="W168" s="10"/>
      <c r="X168" s="5"/>
      <c r="Y168" s="10"/>
      <c r="Z168" s="8"/>
      <c r="AA168" s="10">
        <v>723159</v>
      </c>
      <c r="AB168" s="10"/>
      <c r="AC168" s="8"/>
      <c r="AD168" s="10"/>
      <c r="AE168" s="35"/>
      <c r="AF168" s="10"/>
      <c r="AG168" s="8">
        <v>105</v>
      </c>
      <c r="AH168" s="59">
        <v>18</v>
      </c>
      <c r="AI168" s="10">
        <v>154</v>
      </c>
      <c r="AJ168" s="5">
        <v>20</v>
      </c>
      <c r="AK168" s="10"/>
      <c r="AL168" s="8"/>
      <c r="AM168" s="10"/>
      <c r="AN168" s="35"/>
      <c r="AO168" s="10"/>
      <c r="AP168" s="10"/>
      <c r="AQ168" s="35"/>
      <c r="AR168" s="59"/>
      <c r="AS168" s="59"/>
      <c r="AT168" s="59"/>
      <c r="AU168" s="59"/>
      <c r="AV168" s="62"/>
      <c r="AW168" s="10"/>
      <c r="AX168" s="326"/>
      <c r="AY168" s="5"/>
      <c r="AZ168" s="10"/>
      <c r="BA168" s="8"/>
      <c r="BB168" s="10"/>
      <c r="BC168" s="10"/>
      <c r="BD168" s="10"/>
      <c r="BE168" s="10"/>
      <c r="BF168" s="10"/>
      <c r="BG168" s="10"/>
      <c r="BH168" s="30"/>
      <c r="BI168" s="10"/>
      <c r="BJ168" s="338"/>
      <c r="BK168" s="338"/>
      <c r="BL168" s="303"/>
      <c r="BM168" s="5"/>
      <c r="BN168" s="10"/>
      <c r="BO168" s="8"/>
      <c r="BP168" s="5"/>
      <c r="BQ168" s="10"/>
      <c r="BR168" s="29">
        <v>1993</v>
      </c>
      <c r="BS168" s="64">
        <v>1993</v>
      </c>
      <c r="BT168" s="14">
        <v>8</v>
      </c>
      <c r="BU168" s="10"/>
      <c r="BV168" s="8">
        <v>7</v>
      </c>
      <c r="BW168" s="10">
        <v>3</v>
      </c>
      <c r="BX168" s="59"/>
      <c r="BY168" s="59"/>
      <c r="BZ168" s="59"/>
      <c r="CA168" s="59"/>
      <c r="CB168" s="59"/>
      <c r="CC168" s="221"/>
      <c r="CD168" s="10">
        <v>2</v>
      </c>
      <c r="CE168" s="317"/>
      <c r="CF168" s="10">
        <v>0</v>
      </c>
      <c r="CG168" s="10">
        <v>2</v>
      </c>
      <c r="CH168" s="10"/>
      <c r="CI168" s="10">
        <v>0</v>
      </c>
      <c r="CJ168" s="10">
        <v>6</v>
      </c>
      <c r="CK168" s="10"/>
      <c r="CL168" s="10"/>
      <c r="CM168" s="10">
        <v>0</v>
      </c>
      <c r="CN168" s="10"/>
      <c r="CO168" s="10">
        <v>0</v>
      </c>
      <c r="CP168" s="317"/>
      <c r="CQ168" s="10"/>
      <c r="CR168" s="10"/>
      <c r="CS168" s="10">
        <v>0</v>
      </c>
      <c r="CT168" s="10">
        <v>2</v>
      </c>
      <c r="CU168" s="10">
        <v>0</v>
      </c>
      <c r="CV168" s="10">
        <v>7</v>
      </c>
      <c r="CW168" s="10"/>
      <c r="CX168" s="10"/>
      <c r="CY168" s="59">
        <v>0</v>
      </c>
      <c r="CZ168" s="59"/>
      <c r="DA168" s="59"/>
      <c r="DB168" s="10">
        <v>4</v>
      </c>
      <c r="DC168" s="10"/>
      <c r="DD168" s="10"/>
      <c r="DE168" s="10"/>
      <c r="DF168" s="10"/>
      <c r="DG168" s="10">
        <v>0</v>
      </c>
      <c r="DH168" s="10">
        <v>7</v>
      </c>
      <c r="DI168" s="10">
        <v>2</v>
      </c>
      <c r="DJ168" s="59">
        <v>0</v>
      </c>
      <c r="DK168" s="59"/>
      <c r="DL168" s="59"/>
      <c r="DM168" s="10">
        <v>3</v>
      </c>
      <c r="DN168" s="10"/>
      <c r="DO168" s="10">
        <v>0</v>
      </c>
      <c r="DP168" s="10"/>
      <c r="DQ168" s="10"/>
      <c r="DR168" s="10"/>
      <c r="DS168" s="59">
        <v>0</v>
      </c>
      <c r="DT168" s="10">
        <v>0</v>
      </c>
      <c r="DU168" s="10">
        <v>0</v>
      </c>
      <c r="DV168" s="38">
        <f t="shared" si="74"/>
        <v>45</v>
      </c>
      <c r="DW168" s="14" t="str">
        <f t="shared" si="75"/>
        <v/>
      </c>
    </row>
    <row r="169" spans="1:127" customFormat="1">
      <c r="A169" s="210">
        <v>34090</v>
      </c>
      <c r="B169" s="211"/>
      <c r="C169" s="8">
        <v>2</v>
      </c>
      <c r="D169" s="10">
        <v>30</v>
      </c>
      <c r="E169" s="10">
        <v>3</v>
      </c>
      <c r="F169" s="10">
        <v>0</v>
      </c>
      <c r="G169" s="10">
        <v>1</v>
      </c>
      <c r="H169" s="10">
        <v>0</v>
      </c>
      <c r="I169" s="10">
        <v>0</v>
      </c>
      <c r="J169" s="10">
        <v>0</v>
      </c>
      <c r="K169" s="59">
        <v>0</v>
      </c>
      <c r="L169" s="59">
        <v>0</v>
      </c>
      <c r="M169" s="59"/>
      <c r="N169" s="59"/>
      <c r="O169" s="10">
        <v>7</v>
      </c>
      <c r="P169" s="59">
        <v>0</v>
      </c>
      <c r="Q169" s="59">
        <v>0</v>
      </c>
      <c r="R169" s="10">
        <v>1</v>
      </c>
      <c r="S169" s="35">
        <f t="shared" si="73"/>
        <v>44</v>
      </c>
      <c r="T169" s="10"/>
      <c r="U169" s="10"/>
      <c r="V169" s="10"/>
      <c r="W169" s="10"/>
      <c r="X169" s="5"/>
      <c r="Y169" s="10"/>
      <c r="Z169" s="8"/>
      <c r="AA169" s="10">
        <v>1200717</v>
      </c>
      <c r="AB169" s="10"/>
      <c r="AC169" s="8"/>
      <c r="AD169" s="10"/>
      <c r="AE169" s="35"/>
      <c r="AF169" s="10"/>
      <c r="AG169" s="8">
        <v>119</v>
      </c>
      <c r="AH169" s="59">
        <v>19</v>
      </c>
      <c r="AI169" s="10">
        <v>172</v>
      </c>
      <c r="AJ169" s="5">
        <v>16</v>
      </c>
      <c r="AK169" s="10"/>
      <c r="AL169" s="8"/>
      <c r="AM169" s="10"/>
      <c r="AN169" s="35"/>
      <c r="AO169" s="10"/>
      <c r="AP169" s="10"/>
      <c r="AQ169" s="35"/>
      <c r="AR169" s="59"/>
      <c r="AS169" s="59"/>
      <c r="AT169" s="59"/>
      <c r="AU169" s="59"/>
      <c r="AV169" s="62"/>
      <c r="AW169" s="10"/>
      <c r="AX169" s="326"/>
      <c r="AY169" s="5"/>
      <c r="AZ169" s="10"/>
      <c r="BA169" s="8">
        <v>1508</v>
      </c>
      <c r="BB169" s="10"/>
      <c r="BC169" s="10">
        <v>17586176</v>
      </c>
      <c r="BD169" s="10"/>
      <c r="BE169" s="10"/>
      <c r="BF169" s="10"/>
      <c r="BG169" s="10"/>
      <c r="BH169" s="30"/>
      <c r="BI169" s="10"/>
      <c r="BJ169" s="338"/>
      <c r="BK169" s="338"/>
      <c r="BL169" s="303"/>
      <c r="BM169" s="5"/>
      <c r="BN169" s="10"/>
      <c r="BO169" s="8"/>
      <c r="BP169" s="5"/>
      <c r="BQ169" s="10"/>
      <c r="BR169" s="29">
        <v>1993</v>
      </c>
      <c r="BS169" s="64">
        <v>1993</v>
      </c>
      <c r="BT169" s="14">
        <v>9</v>
      </c>
      <c r="BU169" s="10"/>
      <c r="BV169" s="8">
        <v>3</v>
      </c>
      <c r="BW169" s="10">
        <v>0</v>
      </c>
      <c r="BX169" s="59"/>
      <c r="BY169" s="59"/>
      <c r="BZ169" s="59"/>
      <c r="CA169" s="59"/>
      <c r="CB169" s="59"/>
      <c r="CC169" s="221"/>
      <c r="CD169" s="10">
        <v>5</v>
      </c>
      <c r="CE169" s="317"/>
      <c r="CF169" s="10">
        <v>0</v>
      </c>
      <c r="CG169" s="10">
        <v>1</v>
      </c>
      <c r="CH169" s="10"/>
      <c r="CI169" s="10">
        <v>0</v>
      </c>
      <c r="CJ169" s="10">
        <v>4</v>
      </c>
      <c r="CK169" s="10"/>
      <c r="CL169" s="10"/>
      <c r="CM169" s="10">
        <v>3</v>
      </c>
      <c r="CN169" s="10"/>
      <c r="CO169" s="10">
        <v>0</v>
      </c>
      <c r="CP169" s="317"/>
      <c r="CQ169" s="10"/>
      <c r="CR169" s="10"/>
      <c r="CS169" s="10">
        <v>0</v>
      </c>
      <c r="CT169" s="10">
        <v>5</v>
      </c>
      <c r="CU169" s="10">
        <v>1</v>
      </c>
      <c r="CV169" s="10">
        <v>0</v>
      </c>
      <c r="CW169" s="10"/>
      <c r="CX169" s="10"/>
      <c r="CY169" s="59">
        <v>0</v>
      </c>
      <c r="CZ169" s="59"/>
      <c r="DA169" s="59"/>
      <c r="DB169" s="10">
        <v>11</v>
      </c>
      <c r="DC169" s="10"/>
      <c r="DD169" s="10"/>
      <c r="DE169" s="10"/>
      <c r="DF169" s="10"/>
      <c r="DG169" s="10">
        <v>0</v>
      </c>
      <c r="DH169" s="10">
        <v>1</v>
      </c>
      <c r="DI169" s="10">
        <v>1</v>
      </c>
      <c r="DJ169" s="59">
        <v>0</v>
      </c>
      <c r="DK169" s="59"/>
      <c r="DL169" s="59"/>
      <c r="DM169" s="10">
        <v>5</v>
      </c>
      <c r="DN169" s="10"/>
      <c r="DO169" s="10">
        <v>3</v>
      </c>
      <c r="DP169" s="10"/>
      <c r="DQ169" s="10"/>
      <c r="DR169" s="10"/>
      <c r="DS169" s="59">
        <v>0</v>
      </c>
      <c r="DT169" s="10">
        <v>0</v>
      </c>
      <c r="DU169" s="10">
        <v>1</v>
      </c>
      <c r="DV169" s="38">
        <f t="shared" si="74"/>
        <v>44</v>
      </c>
      <c r="DW169" s="14" t="str">
        <f t="shared" si="75"/>
        <v/>
      </c>
    </row>
    <row r="170" spans="1:127" customFormat="1">
      <c r="A170" s="210">
        <v>34104</v>
      </c>
      <c r="B170" s="211"/>
      <c r="C170" s="8">
        <v>5</v>
      </c>
      <c r="D170" s="10">
        <v>29</v>
      </c>
      <c r="E170" s="10">
        <v>0</v>
      </c>
      <c r="F170" s="10">
        <v>0</v>
      </c>
      <c r="G170" s="10">
        <v>18</v>
      </c>
      <c r="H170" s="10">
        <v>0</v>
      </c>
      <c r="I170" s="10">
        <v>0</v>
      </c>
      <c r="J170" s="10">
        <v>0</v>
      </c>
      <c r="K170" s="59">
        <v>0</v>
      </c>
      <c r="L170" s="59">
        <v>0</v>
      </c>
      <c r="M170" s="59"/>
      <c r="N170" s="59"/>
      <c r="O170" s="10">
        <v>10</v>
      </c>
      <c r="P170" s="59">
        <v>0</v>
      </c>
      <c r="Q170" s="59">
        <v>0</v>
      </c>
      <c r="R170" s="10">
        <v>0</v>
      </c>
      <c r="S170" s="35">
        <f t="shared" si="73"/>
        <v>62</v>
      </c>
      <c r="T170" s="10"/>
      <c r="U170" s="10"/>
      <c r="V170" s="10"/>
      <c r="W170" s="10"/>
      <c r="X170" s="5"/>
      <c r="Y170" s="10"/>
      <c r="Z170" s="8"/>
      <c r="AA170" s="10">
        <v>1494163</v>
      </c>
      <c r="AB170" s="10"/>
      <c r="AC170" s="8"/>
      <c r="AD170" s="10"/>
      <c r="AE170" s="35"/>
      <c r="AF170" s="10"/>
      <c r="AG170" s="8">
        <v>82</v>
      </c>
      <c r="AH170" s="59">
        <v>8</v>
      </c>
      <c r="AI170" s="10">
        <v>168</v>
      </c>
      <c r="AJ170" s="5">
        <v>24</v>
      </c>
      <c r="AK170" s="10"/>
      <c r="AL170" s="8"/>
      <c r="AM170" s="10"/>
      <c r="AN170" s="35"/>
      <c r="AO170" s="10"/>
      <c r="AP170" s="10"/>
      <c r="AQ170" s="35"/>
      <c r="AR170" s="59"/>
      <c r="AS170" s="59"/>
      <c r="AT170" s="59"/>
      <c r="AU170" s="59"/>
      <c r="AV170" s="62"/>
      <c r="AW170" s="10"/>
      <c r="AX170" s="326"/>
      <c r="AY170" s="5"/>
      <c r="AZ170" s="10"/>
      <c r="BA170" s="8"/>
      <c r="BB170" s="10"/>
      <c r="BC170" s="10"/>
      <c r="BD170" s="10"/>
      <c r="BE170" s="10"/>
      <c r="BF170" s="10"/>
      <c r="BG170" s="10"/>
      <c r="BH170" s="30"/>
      <c r="BI170" s="10"/>
      <c r="BJ170" s="338"/>
      <c r="BK170" s="338"/>
      <c r="BL170" s="303"/>
      <c r="BM170" s="5"/>
      <c r="BN170" s="10"/>
      <c r="BO170" s="8"/>
      <c r="BP170" s="5"/>
      <c r="BQ170" s="10"/>
      <c r="BR170" s="29">
        <v>1993</v>
      </c>
      <c r="BS170" s="64">
        <v>1993</v>
      </c>
      <c r="BT170" s="14">
        <v>10</v>
      </c>
      <c r="BU170" s="10"/>
      <c r="BV170" s="8">
        <v>0</v>
      </c>
      <c r="BW170" s="10">
        <v>1</v>
      </c>
      <c r="BX170" s="59"/>
      <c r="BY170" s="59"/>
      <c r="BZ170" s="59"/>
      <c r="CA170" s="59"/>
      <c r="CB170" s="59"/>
      <c r="CC170" s="221"/>
      <c r="CD170" s="10">
        <v>0</v>
      </c>
      <c r="CE170" s="317"/>
      <c r="CF170" s="10">
        <v>0</v>
      </c>
      <c r="CG170" s="10">
        <v>0</v>
      </c>
      <c r="CH170" s="10"/>
      <c r="CI170" s="10">
        <v>6</v>
      </c>
      <c r="CJ170" s="10">
        <v>28</v>
      </c>
      <c r="CK170" s="10"/>
      <c r="CL170" s="10"/>
      <c r="CM170" s="10">
        <v>0</v>
      </c>
      <c r="CN170" s="10"/>
      <c r="CO170" s="10">
        <v>6</v>
      </c>
      <c r="CP170" s="317"/>
      <c r="CQ170" s="10"/>
      <c r="CR170" s="10"/>
      <c r="CS170" s="10">
        <v>0</v>
      </c>
      <c r="CT170" s="10">
        <v>0</v>
      </c>
      <c r="CU170" s="10">
        <v>0</v>
      </c>
      <c r="CV170" s="10">
        <v>0</v>
      </c>
      <c r="CW170" s="10"/>
      <c r="CX170" s="10"/>
      <c r="CY170" s="59">
        <v>0</v>
      </c>
      <c r="CZ170" s="59"/>
      <c r="DA170" s="59"/>
      <c r="DB170" s="10">
        <v>2</v>
      </c>
      <c r="DC170" s="10"/>
      <c r="DD170" s="10"/>
      <c r="DE170" s="10"/>
      <c r="DF170" s="10"/>
      <c r="DG170" s="10">
        <v>0</v>
      </c>
      <c r="DH170" s="10">
        <v>1</v>
      </c>
      <c r="DI170" s="10">
        <v>3</v>
      </c>
      <c r="DJ170" s="59">
        <v>0</v>
      </c>
      <c r="DK170" s="59"/>
      <c r="DL170" s="59"/>
      <c r="DM170" s="10">
        <v>15</v>
      </c>
      <c r="DN170" s="10"/>
      <c r="DO170" s="10">
        <v>0</v>
      </c>
      <c r="DP170" s="10"/>
      <c r="DQ170" s="10"/>
      <c r="DR170" s="10"/>
      <c r="DS170" s="59">
        <v>0</v>
      </c>
      <c r="DT170" s="10">
        <v>0</v>
      </c>
      <c r="DU170" s="10">
        <v>0</v>
      </c>
      <c r="DV170" s="38">
        <f t="shared" si="74"/>
        <v>62</v>
      </c>
      <c r="DW170" s="14" t="str">
        <f t="shared" si="75"/>
        <v/>
      </c>
    </row>
    <row r="171" spans="1:127" customFormat="1">
      <c r="A171" s="210">
        <v>34121</v>
      </c>
      <c r="B171" s="211"/>
      <c r="C171" s="8">
        <v>6</v>
      </c>
      <c r="D171" s="10">
        <v>24</v>
      </c>
      <c r="E171" s="10">
        <v>0</v>
      </c>
      <c r="F171" s="10">
        <v>1</v>
      </c>
      <c r="G171" s="10">
        <v>2</v>
      </c>
      <c r="H171" s="10">
        <v>0</v>
      </c>
      <c r="I171" s="10">
        <v>0</v>
      </c>
      <c r="J171" s="10">
        <v>1</v>
      </c>
      <c r="K171" s="59">
        <v>0</v>
      </c>
      <c r="L171" s="59">
        <v>0</v>
      </c>
      <c r="M171" s="59"/>
      <c r="N171" s="59"/>
      <c r="O171" s="10">
        <v>10</v>
      </c>
      <c r="P171" s="59">
        <v>0</v>
      </c>
      <c r="Q171" s="59">
        <v>0</v>
      </c>
      <c r="R171" s="10">
        <v>0</v>
      </c>
      <c r="S171" s="35">
        <f t="shared" si="73"/>
        <v>44</v>
      </c>
      <c r="T171" s="10"/>
      <c r="U171" s="10"/>
      <c r="V171" s="10"/>
      <c r="W171" s="10"/>
      <c r="X171" s="5"/>
      <c r="Y171" s="10"/>
      <c r="Z171" s="8"/>
      <c r="AA171" s="10">
        <v>1100420</v>
      </c>
      <c r="AB171" s="10"/>
      <c r="AC171" s="8"/>
      <c r="AD171" s="10"/>
      <c r="AE171" s="35"/>
      <c r="AF171" s="10"/>
      <c r="AG171" s="8">
        <v>81</v>
      </c>
      <c r="AH171" s="59">
        <v>23</v>
      </c>
      <c r="AI171" s="10">
        <v>134</v>
      </c>
      <c r="AJ171" s="5">
        <v>20</v>
      </c>
      <c r="AK171" s="10"/>
      <c r="AL171" s="8"/>
      <c r="AM171" s="10"/>
      <c r="AN171" s="35"/>
      <c r="AO171" s="10"/>
      <c r="AP171" s="10"/>
      <c r="AQ171" s="35"/>
      <c r="AR171" s="59"/>
      <c r="AS171" s="59"/>
      <c r="AT171" s="59"/>
      <c r="AU171" s="59"/>
      <c r="AV171" s="62"/>
      <c r="AW171" s="10"/>
      <c r="AX171" s="326"/>
      <c r="AY171" s="5"/>
      <c r="AZ171" s="10"/>
      <c r="BA171" s="8"/>
      <c r="BB171" s="10"/>
      <c r="BC171" s="10"/>
      <c r="BD171" s="10"/>
      <c r="BE171" s="10"/>
      <c r="BF171" s="10"/>
      <c r="BG171" s="10"/>
      <c r="BH171" s="30"/>
      <c r="BI171" s="10"/>
      <c r="BJ171" s="338"/>
      <c r="BK171" s="338"/>
      <c r="BL171" s="303"/>
      <c r="BM171" s="5"/>
      <c r="BN171" s="10"/>
      <c r="BO171" s="8"/>
      <c r="BP171" s="5"/>
      <c r="BQ171" s="10"/>
      <c r="BR171" s="29">
        <v>1993</v>
      </c>
      <c r="BS171" s="64">
        <v>1993</v>
      </c>
      <c r="BT171" s="14">
        <v>11</v>
      </c>
      <c r="BU171" s="10"/>
      <c r="BV171" s="8">
        <v>1</v>
      </c>
      <c r="BW171" s="10">
        <v>1</v>
      </c>
      <c r="BX171" s="59"/>
      <c r="BY171" s="59"/>
      <c r="BZ171" s="59"/>
      <c r="CA171" s="59"/>
      <c r="CB171" s="59"/>
      <c r="CC171" s="221"/>
      <c r="CD171" s="10">
        <v>2</v>
      </c>
      <c r="CE171" s="317"/>
      <c r="CF171" s="10">
        <v>0</v>
      </c>
      <c r="CG171" s="10">
        <v>0</v>
      </c>
      <c r="CH171" s="10"/>
      <c r="CI171" s="10">
        <v>1</v>
      </c>
      <c r="CJ171" s="10">
        <v>0</v>
      </c>
      <c r="CK171" s="10"/>
      <c r="CL171" s="10"/>
      <c r="CM171" s="10">
        <v>0</v>
      </c>
      <c r="CN171" s="10"/>
      <c r="CO171" s="10">
        <v>1</v>
      </c>
      <c r="CP171" s="317"/>
      <c r="CQ171" s="10"/>
      <c r="CR171" s="10"/>
      <c r="CS171" s="10">
        <v>12</v>
      </c>
      <c r="CT171" s="10">
        <v>10</v>
      </c>
      <c r="CU171" s="10">
        <v>1</v>
      </c>
      <c r="CV171" s="10">
        <v>1</v>
      </c>
      <c r="CW171" s="10"/>
      <c r="CX171" s="10"/>
      <c r="CY171" s="59">
        <v>0</v>
      </c>
      <c r="CZ171" s="59"/>
      <c r="DA171" s="59"/>
      <c r="DB171" s="10">
        <v>0</v>
      </c>
      <c r="DC171" s="10"/>
      <c r="DD171" s="10"/>
      <c r="DE171" s="10"/>
      <c r="DF171" s="10"/>
      <c r="DG171" s="10">
        <v>2</v>
      </c>
      <c r="DH171" s="10">
        <v>2</v>
      </c>
      <c r="DI171" s="10">
        <v>3</v>
      </c>
      <c r="DJ171" s="59">
        <v>0</v>
      </c>
      <c r="DK171" s="59"/>
      <c r="DL171" s="59"/>
      <c r="DM171" s="10">
        <v>7</v>
      </c>
      <c r="DN171" s="10"/>
      <c r="DO171" s="10">
        <v>0</v>
      </c>
      <c r="DP171" s="10"/>
      <c r="DQ171" s="10"/>
      <c r="DR171" s="10"/>
      <c r="DS171" s="59">
        <v>0</v>
      </c>
      <c r="DT171" s="10">
        <v>0</v>
      </c>
      <c r="DU171" s="10">
        <v>0</v>
      </c>
      <c r="DV171" s="38">
        <f t="shared" si="74"/>
        <v>44</v>
      </c>
      <c r="DW171" s="14" t="str">
        <f t="shared" si="75"/>
        <v/>
      </c>
    </row>
    <row r="172" spans="1:127" customFormat="1">
      <c r="A172" s="210">
        <v>34135</v>
      </c>
      <c r="B172" s="211"/>
      <c r="C172" s="8">
        <v>4</v>
      </c>
      <c r="D172" s="10">
        <v>16</v>
      </c>
      <c r="E172" s="10">
        <v>0</v>
      </c>
      <c r="F172" s="10">
        <v>1</v>
      </c>
      <c r="G172" s="10">
        <v>8</v>
      </c>
      <c r="H172" s="10">
        <v>1</v>
      </c>
      <c r="I172" s="10">
        <v>0</v>
      </c>
      <c r="J172" s="10">
        <v>0</v>
      </c>
      <c r="K172" s="59">
        <v>0</v>
      </c>
      <c r="L172" s="59">
        <v>0</v>
      </c>
      <c r="M172" s="59"/>
      <c r="N172" s="59"/>
      <c r="O172" s="10">
        <v>3</v>
      </c>
      <c r="P172" s="59">
        <v>0</v>
      </c>
      <c r="Q172" s="59">
        <v>0</v>
      </c>
      <c r="R172" s="10">
        <v>0</v>
      </c>
      <c r="S172" s="35">
        <f t="shared" si="73"/>
        <v>33</v>
      </c>
      <c r="T172" s="10"/>
      <c r="U172" s="10"/>
      <c r="V172" s="10"/>
      <c r="W172" s="10"/>
      <c r="X172" s="5"/>
      <c r="Y172" s="10"/>
      <c r="Z172" s="8"/>
      <c r="AA172" s="10">
        <v>1474490</v>
      </c>
      <c r="AB172" s="10"/>
      <c r="AC172" s="8"/>
      <c r="AD172" s="10"/>
      <c r="AE172" s="35"/>
      <c r="AF172" s="10"/>
      <c r="AG172" s="8">
        <v>107</v>
      </c>
      <c r="AH172" s="59">
        <v>10</v>
      </c>
      <c r="AI172" s="10">
        <v>170</v>
      </c>
      <c r="AJ172" s="5">
        <v>20</v>
      </c>
      <c r="AK172" s="10"/>
      <c r="AL172" s="8"/>
      <c r="AM172" s="10"/>
      <c r="AN172" s="35"/>
      <c r="AO172" s="10"/>
      <c r="AP172" s="10"/>
      <c r="AQ172" s="35"/>
      <c r="AR172" s="59"/>
      <c r="AS172" s="59"/>
      <c r="AT172" s="59"/>
      <c r="AU172" s="59"/>
      <c r="AV172" s="62"/>
      <c r="AW172" s="10"/>
      <c r="AX172" s="326"/>
      <c r="AY172" s="5"/>
      <c r="AZ172" s="10"/>
      <c r="BA172" s="8"/>
      <c r="BB172" s="10"/>
      <c r="BC172" s="10"/>
      <c r="BD172" s="10"/>
      <c r="BE172" s="10"/>
      <c r="BF172" s="10"/>
      <c r="BG172" s="10"/>
      <c r="BH172" s="30"/>
      <c r="BI172" s="10"/>
      <c r="BJ172" s="338"/>
      <c r="BK172" s="338"/>
      <c r="BL172" s="303"/>
      <c r="BM172" s="5"/>
      <c r="BN172" s="10"/>
      <c r="BO172" s="8"/>
      <c r="BP172" s="5"/>
      <c r="BQ172" s="10"/>
      <c r="BR172" s="29">
        <v>1993</v>
      </c>
      <c r="BS172" s="64">
        <v>1993</v>
      </c>
      <c r="BT172" s="14">
        <v>12</v>
      </c>
      <c r="BU172" s="10"/>
      <c r="BV172" s="8">
        <v>0</v>
      </c>
      <c r="BW172" s="10">
        <v>1</v>
      </c>
      <c r="BX172" s="10"/>
      <c r="BY172" s="10"/>
      <c r="BZ172" s="10"/>
      <c r="CA172" s="10"/>
      <c r="CB172" s="10"/>
      <c r="CC172" s="221"/>
      <c r="CD172" s="10">
        <v>6</v>
      </c>
      <c r="CE172" s="317"/>
      <c r="CF172" s="10">
        <v>0</v>
      </c>
      <c r="CG172" s="10">
        <v>0</v>
      </c>
      <c r="CH172" s="10"/>
      <c r="CI172" s="10">
        <v>2</v>
      </c>
      <c r="CJ172" s="10">
        <v>8</v>
      </c>
      <c r="CK172" s="10"/>
      <c r="CL172" s="10"/>
      <c r="CM172" s="10">
        <v>0</v>
      </c>
      <c r="CN172" s="10"/>
      <c r="CO172" s="10">
        <v>0</v>
      </c>
      <c r="CP172" s="317"/>
      <c r="CQ172" s="10"/>
      <c r="CR172" s="10"/>
      <c r="CS172" s="10">
        <v>5</v>
      </c>
      <c r="CT172" s="10">
        <v>2</v>
      </c>
      <c r="CU172" s="10">
        <v>0</v>
      </c>
      <c r="CV172" s="10">
        <v>3</v>
      </c>
      <c r="CW172" s="10"/>
      <c r="CX172" s="10"/>
      <c r="CY172" s="59">
        <v>0</v>
      </c>
      <c r="CZ172" s="59"/>
      <c r="DA172" s="59"/>
      <c r="DB172" s="10">
        <v>3</v>
      </c>
      <c r="DC172" s="10"/>
      <c r="DD172" s="10"/>
      <c r="DE172" s="10"/>
      <c r="DF172" s="10"/>
      <c r="DG172" s="10">
        <v>0</v>
      </c>
      <c r="DH172" s="10">
        <v>1</v>
      </c>
      <c r="DI172" s="10">
        <v>0</v>
      </c>
      <c r="DJ172" s="59">
        <v>0</v>
      </c>
      <c r="DK172" s="59"/>
      <c r="DL172" s="59"/>
      <c r="DM172" s="10">
        <v>2</v>
      </c>
      <c r="DN172" s="10"/>
      <c r="DO172" s="10">
        <v>0</v>
      </c>
      <c r="DP172" s="10"/>
      <c r="DQ172" s="10"/>
      <c r="DR172" s="10"/>
      <c r="DS172" s="59">
        <v>0</v>
      </c>
      <c r="DT172" s="10">
        <v>0</v>
      </c>
      <c r="DU172" s="10">
        <v>0</v>
      </c>
      <c r="DV172" s="38">
        <f t="shared" si="74"/>
        <v>33</v>
      </c>
      <c r="DW172" s="14" t="str">
        <f t="shared" si="75"/>
        <v/>
      </c>
    </row>
    <row r="173" spans="1:127" s="6" customFormat="1" ht="12" thickBot="1">
      <c r="A173" s="212" t="s">
        <v>81</v>
      </c>
      <c r="B173" s="83"/>
      <c r="C173" s="52">
        <f t="shared" ref="C173:X173" si="76">SUM(C149:C172)</f>
        <v>138</v>
      </c>
      <c r="D173" s="53">
        <f t="shared" si="76"/>
        <v>581</v>
      </c>
      <c r="E173" s="53">
        <f t="shared" si="76"/>
        <v>162</v>
      </c>
      <c r="F173" s="53">
        <f t="shared" si="76"/>
        <v>8</v>
      </c>
      <c r="G173" s="53">
        <f t="shared" si="76"/>
        <v>88</v>
      </c>
      <c r="H173" s="53">
        <f t="shared" si="76"/>
        <v>23</v>
      </c>
      <c r="I173" s="53">
        <f>SUM(I149:I172)</f>
        <v>0</v>
      </c>
      <c r="J173" s="53">
        <f t="shared" si="76"/>
        <v>291</v>
      </c>
      <c r="K173" s="53">
        <f t="shared" si="76"/>
        <v>0</v>
      </c>
      <c r="L173" s="53">
        <f t="shared" si="76"/>
        <v>0</v>
      </c>
      <c r="M173" s="53"/>
      <c r="N173" s="53"/>
      <c r="O173" s="53">
        <f>SUM(O149:O172)</f>
        <v>351</v>
      </c>
      <c r="P173" s="53">
        <f t="shared" si="76"/>
        <v>0</v>
      </c>
      <c r="Q173" s="53">
        <f t="shared" si="76"/>
        <v>0</v>
      </c>
      <c r="R173" s="53">
        <f t="shared" si="76"/>
        <v>11</v>
      </c>
      <c r="S173" s="55">
        <f t="shared" si="76"/>
        <v>1653</v>
      </c>
      <c r="T173" s="53">
        <f t="shared" si="76"/>
        <v>0</v>
      </c>
      <c r="U173" s="53">
        <f t="shared" si="76"/>
        <v>0</v>
      </c>
      <c r="V173" s="53">
        <f t="shared" ref="V173" si="77">SUM(V149:V172)</f>
        <v>0</v>
      </c>
      <c r="W173" s="53">
        <f t="shared" si="76"/>
        <v>0</v>
      </c>
      <c r="X173" s="54">
        <f t="shared" si="76"/>
        <v>0</v>
      </c>
      <c r="Z173" s="52">
        <f>SUM(Z149:Z172)</f>
        <v>0</v>
      </c>
      <c r="AA173" s="53">
        <f>SUM(AA149:AA172)</f>
        <v>30638827</v>
      </c>
      <c r="AB173" s="53"/>
      <c r="AC173" s="52">
        <f>SUM(AC149:AC172)</f>
        <v>0</v>
      </c>
      <c r="AD173" s="53">
        <f>SUM(AD149:AD172)</f>
        <v>0</v>
      </c>
      <c r="AE173" s="55">
        <f>SUM(AE149:AE172)</f>
        <v>0</v>
      </c>
      <c r="AG173" s="52">
        <f>SUM(AG149:AG172)</f>
        <v>2189</v>
      </c>
      <c r="AH173" s="53">
        <f>SUM(AH149:AH172)</f>
        <v>480</v>
      </c>
      <c r="AI173" s="53">
        <f>SUM(AI149:AI172)</f>
        <v>3668</v>
      </c>
      <c r="AJ173" s="54">
        <f>SUM(AJ149:AJ172)</f>
        <v>548</v>
      </c>
      <c r="AL173" s="52">
        <f t="shared" ref="AL173:AV173" si="78">SUM(AL149:AL172)</f>
        <v>32</v>
      </c>
      <c r="AM173" s="53">
        <f t="shared" si="78"/>
        <v>146</v>
      </c>
      <c r="AN173" s="55">
        <f t="shared" si="78"/>
        <v>178</v>
      </c>
      <c r="AO173" s="53">
        <f t="shared" si="78"/>
        <v>154</v>
      </c>
      <c r="AP173" s="53">
        <f t="shared" si="78"/>
        <v>34</v>
      </c>
      <c r="AQ173" s="55">
        <f t="shared" si="78"/>
        <v>188</v>
      </c>
      <c r="AR173" s="53">
        <f t="shared" si="78"/>
        <v>0</v>
      </c>
      <c r="AS173" s="53">
        <f t="shared" si="78"/>
        <v>0</v>
      </c>
      <c r="AT173" s="53">
        <f t="shared" si="78"/>
        <v>0</v>
      </c>
      <c r="AU173" s="53">
        <f t="shared" si="78"/>
        <v>0</v>
      </c>
      <c r="AV173" s="54">
        <f t="shared" si="78"/>
        <v>0</v>
      </c>
      <c r="AX173" s="329"/>
      <c r="AY173" s="54"/>
      <c r="BA173" s="52">
        <f t="shared" ref="BA173:BM173" si="79">SUM(BA149:BA172)</f>
        <v>10714</v>
      </c>
      <c r="BB173" s="53">
        <f t="shared" si="79"/>
        <v>0</v>
      </c>
      <c r="BC173" s="53">
        <f t="shared" ref="BC173:BL173" si="80">SUM(BC149:BC172)</f>
        <v>123170816</v>
      </c>
      <c r="BD173" s="53">
        <f t="shared" si="80"/>
        <v>0</v>
      </c>
      <c r="BE173" s="53">
        <f t="shared" si="80"/>
        <v>0</v>
      </c>
      <c r="BF173" s="53">
        <f t="shared" si="80"/>
        <v>0</v>
      </c>
      <c r="BG173" s="53">
        <f t="shared" si="80"/>
        <v>0</v>
      </c>
      <c r="BH173" s="55"/>
      <c r="BI173" s="53">
        <f t="shared" si="80"/>
        <v>0</v>
      </c>
      <c r="BJ173" s="339"/>
      <c r="BK173" s="339"/>
      <c r="BL173" s="53">
        <f t="shared" si="80"/>
        <v>0</v>
      </c>
      <c r="BM173" s="54">
        <f t="shared" si="79"/>
        <v>3281</v>
      </c>
      <c r="BO173" s="52">
        <f>SUM(BO149:BO172)</f>
        <v>0</v>
      </c>
      <c r="BP173" s="54">
        <f>SUM(BP149:BP172)</f>
        <v>0</v>
      </c>
      <c r="BR173" s="81" t="s">
        <v>82</v>
      </c>
      <c r="BS173" s="80"/>
      <c r="BT173" s="82"/>
      <c r="BV173" s="52">
        <f>SUM(BV149:BV172)</f>
        <v>51</v>
      </c>
      <c r="BW173" s="53">
        <f>SUM(BW149:BW172)</f>
        <v>21</v>
      </c>
      <c r="BX173" s="53">
        <f t="shared" ref="BX173:DU173" si="81">SUM(BX149:BX172)</f>
        <v>0</v>
      </c>
      <c r="BY173" s="53">
        <f t="shared" si="81"/>
        <v>0</v>
      </c>
      <c r="BZ173" s="53">
        <f t="shared" si="81"/>
        <v>0</v>
      </c>
      <c r="CA173" s="53">
        <f t="shared" si="81"/>
        <v>0</v>
      </c>
      <c r="CB173" s="53">
        <f t="shared" si="81"/>
        <v>0</v>
      </c>
      <c r="CC173" s="53">
        <f t="shared" si="81"/>
        <v>0</v>
      </c>
      <c r="CD173" s="53">
        <f t="shared" si="81"/>
        <v>93</v>
      </c>
      <c r="CE173" s="53">
        <f t="shared" si="81"/>
        <v>0</v>
      </c>
      <c r="CF173" s="53">
        <f t="shared" si="81"/>
        <v>12</v>
      </c>
      <c r="CG173" s="53">
        <f t="shared" si="81"/>
        <v>18</v>
      </c>
      <c r="CH173" s="53">
        <f t="shared" si="81"/>
        <v>0</v>
      </c>
      <c r="CI173" s="53">
        <f t="shared" si="81"/>
        <v>105</v>
      </c>
      <c r="CJ173" s="53">
        <f t="shared" si="81"/>
        <v>179</v>
      </c>
      <c r="CK173" s="53">
        <f t="shared" si="81"/>
        <v>0</v>
      </c>
      <c r="CL173" s="53">
        <f t="shared" si="81"/>
        <v>0</v>
      </c>
      <c r="CM173" s="53">
        <f t="shared" si="81"/>
        <v>62</v>
      </c>
      <c r="CN173" s="53">
        <f t="shared" si="81"/>
        <v>0</v>
      </c>
      <c r="CO173" s="53">
        <f t="shared" si="81"/>
        <v>167</v>
      </c>
      <c r="CP173" s="53">
        <f t="shared" si="81"/>
        <v>0</v>
      </c>
      <c r="CQ173" s="53">
        <f t="shared" si="81"/>
        <v>0</v>
      </c>
      <c r="CR173" s="53">
        <f t="shared" si="81"/>
        <v>0</v>
      </c>
      <c r="CS173" s="53">
        <f t="shared" si="81"/>
        <v>20</v>
      </c>
      <c r="CT173" s="53">
        <f t="shared" si="81"/>
        <v>296</v>
      </c>
      <c r="CU173" s="53">
        <f t="shared" si="81"/>
        <v>76</v>
      </c>
      <c r="CV173" s="53">
        <f t="shared" si="81"/>
        <v>44</v>
      </c>
      <c r="CW173" s="53">
        <f t="shared" si="81"/>
        <v>0</v>
      </c>
      <c r="CX173" s="53">
        <f t="shared" si="81"/>
        <v>0</v>
      </c>
      <c r="CY173" s="53">
        <f t="shared" si="81"/>
        <v>0</v>
      </c>
      <c r="CZ173" s="53">
        <f t="shared" si="81"/>
        <v>0</v>
      </c>
      <c r="DA173" s="53">
        <f t="shared" si="81"/>
        <v>0</v>
      </c>
      <c r="DB173" s="53">
        <f t="shared" si="81"/>
        <v>152</v>
      </c>
      <c r="DC173" s="53">
        <f t="shared" si="81"/>
        <v>0</v>
      </c>
      <c r="DD173" s="53">
        <f t="shared" si="81"/>
        <v>0</v>
      </c>
      <c r="DE173" s="53">
        <f t="shared" si="81"/>
        <v>0</v>
      </c>
      <c r="DF173" s="53">
        <f t="shared" si="81"/>
        <v>0</v>
      </c>
      <c r="DG173" s="53">
        <f t="shared" si="81"/>
        <v>65</v>
      </c>
      <c r="DH173" s="53">
        <f t="shared" si="81"/>
        <v>29</v>
      </c>
      <c r="DI173" s="53">
        <f t="shared" si="81"/>
        <v>25</v>
      </c>
      <c r="DJ173" s="53">
        <f t="shared" si="81"/>
        <v>0</v>
      </c>
      <c r="DK173" s="53">
        <f t="shared" si="81"/>
        <v>0</v>
      </c>
      <c r="DL173" s="53">
        <f t="shared" si="81"/>
        <v>0</v>
      </c>
      <c r="DM173" s="53">
        <f t="shared" si="81"/>
        <v>99</v>
      </c>
      <c r="DN173" s="53">
        <f t="shared" si="81"/>
        <v>0</v>
      </c>
      <c r="DO173" s="53">
        <f t="shared" si="81"/>
        <v>63</v>
      </c>
      <c r="DP173" s="53">
        <f t="shared" si="81"/>
        <v>0</v>
      </c>
      <c r="DQ173" s="53">
        <f t="shared" si="81"/>
        <v>0</v>
      </c>
      <c r="DR173" s="53">
        <f t="shared" si="81"/>
        <v>0</v>
      </c>
      <c r="DS173" s="53">
        <f t="shared" si="81"/>
        <v>0</v>
      </c>
      <c r="DT173" s="53">
        <f t="shared" si="81"/>
        <v>65</v>
      </c>
      <c r="DU173" s="53">
        <f t="shared" si="81"/>
        <v>11</v>
      </c>
      <c r="DV173" s="54">
        <f t="shared" si="74"/>
        <v>1653</v>
      </c>
      <c r="DW173" s="48"/>
    </row>
    <row r="174" spans="1:127" s="6" customFormat="1" ht="12" thickTop="1">
      <c r="A174" s="213" t="s">
        <v>83</v>
      </c>
      <c r="B174" s="24"/>
      <c r="C174" s="39">
        <f t="shared" ref="C174:R174" si="82">ROUND(IF(ISERROR(AVERAGE(C149:C172)),0,AVERAGE(C149:C172)),0)</f>
        <v>6</v>
      </c>
      <c r="D174" s="24">
        <f t="shared" si="82"/>
        <v>24</v>
      </c>
      <c r="E174" s="24">
        <f t="shared" si="82"/>
        <v>7</v>
      </c>
      <c r="F174" s="24">
        <f t="shared" si="82"/>
        <v>0</v>
      </c>
      <c r="G174" s="24">
        <f t="shared" si="82"/>
        <v>4</v>
      </c>
      <c r="H174" s="24">
        <f t="shared" si="82"/>
        <v>1</v>
      </c>
      <c r="I174" s="24">
        <f>ROUND(IF(ISERROR(AVERAGE(I149:I172)),0,AVERAGE(I149:I172)),0)</f>
        <v>0</v>
      </c>
      <c r="J174" s="24">
        <f t="shared" si="82"/>
        <v>12</v>
      </c>
      <c r="K174" s="24">
        <f t="shared" si="82"/>
        <v>0</v>
      </c>
      <c r="L174" s="24">
        <f t="shared" si="82"/>
        <v>0</v>
      </c>
      <c r="M174" s="24"/>
      <c r="N174" s="24"/>
      <c r="O174" s="24">
        <f>ROUND(IF(ISERROR(AVERAGE(O149:O172)),0,AVERAGE(O149:O172)),0)</f>
        <v>15</v>
      </c>
      <c r="P174" s="24">
        <f t="shared" si="82"/>
        <v>0</v>
      </c>
      <c r="Q174" s="24">
        <f t="shared" si="82"/>
        <v>0</v>
      </c>
      <c r="R174" s="24">
        <f t="shared" si="82"/>
        <v>0</v>
      </c>
      <c r="S174" s="31">
        <f>SUM(C174:R174)</f>
        <v>69</v>
      </c>
      <c r="T174" s="24">
        <f>ROUND(IF(ISERROR(AVERAGE(T149:T172)),0,AVERAGE(T149:T172)),0)</f>
        <v>0</v>
      </c>
      <c r="U174" s="24">
        <f>ROUND(IF(ISERROR(AVERAGE(U149:U172)),0,AVERAGE(U149:U172)),0)</f>
        <v>0</v>
      </c>
      <c r="V174" s="24">
        <f>ROUND(IF(ISERROR(AVERAGE(V149:V172)),0,AVERAGE(V149:V172)),0)</f>
        <v>0</v>
      </c>
      <c r="W174" s="24">
        <f>ROUND(IF(ISERROR(AVERAGE(W149:W172)),0,AVERAGE(W149:W172)),0)</f>
        <v>0</v>
      </c>
      <c r="X174" s="40">
        <f>ROUND(IF(ISERROR(AVERAGE(X149:X172)),0,AVERAGE(X149:X172)),0)</f>
        <v>0</v>
      </c>
      <c r="Z174" s="39">
        <f>ROUND(IF(ISERROR(AVERAGE(Z149:Z172)),0,AVERAGE(Z149:Z172)),0)</f>
        <v>0</v>
      </c>
      <c r="AA174" s="24">
        <f>ROUND(IF(ISERROR(AVERAGE(AA149:AA172)),0,AVERAGE(AA149:AA172)),0)</f>
        <v>1276618</v>
      </c>
      <c r="AB174" s="24"/>
      <c r="AC174" s="39">
        <f>ROUND(IF(ISERROR(AVERAGE(AC149:AC172)),0,AVERAGE(AC149:AC172)),0)</f>
        <v>0</v>
      </c>
      <c r="AD174" s="24">
        <f>ROUND(IF(ISERROR(AVERAGE(AD149:AD172)),0,AVERAGE(AD149:AD172)),0)</f>
        <v>0</v>
      </c>
      <c r="AE174" s="31">
        <f>SUM(AC174:AD174)</f>
        <v>0</v>
      </c>
      <c r="AG174" s="39">
        <f>ROUND(IF(ISERROR(AVERAGE(AG149:AG172)),0,AVERAGE(AG149:AG172)),0)</f>
        <v>91</v>
      </c>
      <c r="AH174" s="24">
        <f>ROUND(IF(ISERROR(AVERAGE(AH149:AH172)),0,AVERAGE(AH149:AH172)),0)</f>
        <v>20</v>
      </c>
      <c r="AI174" s="24">
        <f>ROUND(IF(ISERROR(AVERAGE(AI149:AI172)),0,AVERAGE(AI149:AI172)),0)</f>
        <v>153</v>
      </c>
      <c r="AJ174" s="40">
        <f>ROUND(IF(ISERROR(AVERAGE(AJ149:AJ172)),0,AVERAGE(AJ149:AJ172)),0)</f>
        <v>23</v>
      </c>
      <c r="AL174" s="39">
        <f>ROUND(IF(ISERROR(AVERAGE(AL149:AL172)),0,AVERAGE(AL149:AL172)),0)</f>
        <v>32</v>
      </c>
      <c r="AM174" s="24">
        <f>ROUND(IF(ISERROR(AVERAGE(AM149:AM172)),0,AVERAGE(AM149:AM172)),0)</f>
        <v>146</v>
      </c>
      <c r="AN174" s="31">
        <f>SUM(AL174:AM174)</f>
        <v>178</v>
      </c>
      <c r="AO174" s="24">
        <f>ROUND(IF(ISERROR(AVERAGE(AO149:AO172)),0,AVERAGE(AO149:AO172)),0)</f>
        <v>154</v>
      </c>
      <c r="AP174" s="24">
        <f>ROUND(IF(ISERROR(AVERAGE(AP149:AP172)),0,AVERAGE(AP149:AP172)),0)</f>
        <v>34</v>
      </c>
      <c r="AQ174" s="31">
        <f>SUM(AO174:AP174)</f>
        <v>188</v>
      </c>
      <c r="AR174" s="24">
        <f>ROUND(IF(ISERROR(AVERAGE(AR149:AR172)),0,AVERAGE(AR149:AR172)),0)</f>
        <v>0</v>
      </c>
      <c r="AS174" s="24">
        <f>ROUND(IF(ISERROR(AVERAGE(AS149:AS172)),0,AVERAGE(AS149:AS172)),0)</f>
        <v>0</v>
      </c>
      <c r="AT174" s="24">
        <f>ROUND(IF(ISERROR(AVERAGE(AT149:AT172)),0,AVERAGE(AT149:AT172)),0)</f>
        <v>0</v>
      </c>
      <c r="AU174" s="24">
        <f>ROUND(IF(ISERROR(AVERAGE(AU149:AU172)),0,AVERAGE(AU149:AU172)),0)</f>
        <v>0</v>
      </c>
      <c r="AV174" s="40">
        <f>ROUND(IF(ISERROR(AVERAGE(AV149:AV172)),0,AVERAGE(AV149:AV172)),0)</f>
        <v>0</v>
      </c>
      <c r="AX174" s="330"/>
      <c r="AY174" s="40"/>
      <c r="BA174" s="39">
        <f t="shared" ref="BA174:BM174" si="83">ROUND(IF(ISERROR(AVERAGE(BA149:BA172)),0,AVERAGE(BA149:BA172)),0)</f>
        <v>1531</v>
      </c>
      <c r="BB174" s="24">
        <f t="shared" si="83"/>
        <v>0</v>
      </c>
      <c r="BC174" s="24">
        <f t="shared" ref="BC174:BL174" si="84">ROUND(IF(ISERROR(AVERAGE(BC149:BC172)),0,AVERAGE(BC149:BC172)),0)</f>
        <v>17595831</v>
      </c>
      <c r="BD174" s="24">
        <f t="shared" si="84"/>
        <v>0</v>
      </c>
      <c r="BE174" s="24">
        <f t="shared" si="84"/>
        <v>0</v>
      </c>
      <c r="BF174" s="24">
        <f t="shared" si="84"/>
        <v>0</v>
      </c>
      <c r="BG174" s="24">
        <f t="shared" si="84"/>
        <v>0</v>
      </c>
      <c r="BH174" s="31"/>
      <c r="BI174" s="24">
        <f t="shared" si="84"/>
        <v>0</v>
      </c>
      <c r="BJ174" s="340"/>
      <c r="BK174" s="340"/>
      <c r="BL174" s="24">
        <f t="shared" si="84"/>
        <v>0</v>
      </c>
      <c r="BM174" s="40">
        <f t="shared" si="83"/>
        <v>3281</v>
      </c>
      <c r="BO174" s="39">
        <f>ROUND(IF(ISERROR(AVERAGE(BO149:BO172)),0,AVERAGE(BO149:BO172)),0)</f>
        <v>0</v>
      </c>
      <c r="BP174" s="40">
        <f>ROUND(IF(ISERROR(AVERAGE(BP149:BP172)),0,AVERAGE(BP149:BP172)),0)</f>
        <v>0</v>
      </c>
      <c r="BR174" s="65" t="s">
        <v>84</v>
      </c>
      <c r="BS174" s="19"/>
      <c r="BT174" s="14"/>
      <c r="BV174" s="39">
        <f>ROUND(IF(ISERROR(AVERAGE(BV149:BV172)),0,AVERAGE(BV149:BV172)),0)</f>
        <v>2</v>
      </c>
      <c r="BW174" s="24">
        <f>ROUND(IF(ISERROR(AVERAGE(BW149:BW172)),0,AVERAGE(BW149:BW172)),0)</f>
        <v>1</v>
      </c>
      <c r="BX174" s="24">
        <f t="shared" ref="BX174:DU174" si="85">ROUND(IF(ISERROR(AVERAGE(BX149:BX172)),0,AVERAGE(BX149:BX172)),0)</f>
        <v>0</v>
      </c>
      <c r="BY174" s="24">
        <f t="shared" si="85"/>
        <v>0</v>
      </c>
      <c r="BZ174" s="24">
        <f t="shared" si="85"/>
        <v>0</v>
      </c>
      <c r="CA174" s="24">
        <f t="shared" si="85"/>
        <v>0</v>
      </c>
      <c r="CB174" s="24">
        <f t="shared" si="85"/>
        <v>0</v>
      </c>
      <c r="CC174" s="24">
        <f t="shared" si="85"/>
        <v>0</v>
      </c>
      <c r="CD174" s="24">
        <f t="shared" si="85"/>
        <v>4</v>
      </c>
      <c r="CE174" s="24">
        <f t="shared" si="85"/>
        <v>0</v>
      </c>
      <c r="CF174" s="24">
        <f t="shared" si="85"/>
        <v>1</v>
      </c>
      <c r="CG174" s="24">
        <f t="shared" si="85"/>
        <v>1</v>
      </c>
      <c r="CH174" s="24">
        <f t="shared" si="85"/>
        <v>0</v>
      </c>
      <c r="CI174" s="24">
        <f t="shared" si="85"/>
        <v>4</v>
      </c>
      <c r="CJ174" s="24">
        <f t="shared" si="85"/>
        <v>7</v>
      </c>
      <c r="CK174" s="24">
        <f t="shared" si="85"/>
        <v>0</v>
      </c>
      <c r="CL174" s="24">
        <f t="shared" si="85"/>
        <v>0</v>
      </c>
      <c r="CM174" s="24">
        <f t="shared" si="85"/>
        <v>3</v>
      </c>
      <c r="CN174" s="24">
        <f t="shared" si="85"/>
        <v>0</v>
      </c>
      <c r="CO174" s="24">
        <f t="shared" si="85"/>
        <v>7</v>
      </c>
      <c r="CP174" s="24">
        <f t="shared" si="85"/>
        <v>0</v>
      </c>
      <c r="CQ174" s="24">
        <f t="shared" si="85"/>
        <v>0</v>
      </c>
      <c r="CR174" s="24">
        <f t="shared" si="85"/>
        <v>0</v>
      </c>
      <c r="CS174" s="24">
        <f t="shared" si="85"/>
        <v>1</v>
      </c>
      <c r="CT174" s="24">
        <f t="shared" si="85"/>
        <v>12</v>
      </c>
      <c r="CU174" s="24">
        <f t="shared" si="85"/>
        <v>3</v>
      </c>
      <c r="CV174" s="24">
        <f t="shared" si="85"/>
        <v>2</v>
      </c>
      <c r="CW174" s="24">
        <f t="shared" si="85"/>
        <v>0</v>
      </c>
      <c r="CX174" s="24">
        <f t="shared" si="85"/>
        <v>0</v>
      </c>
      <c r="CY174" s="24">
        <f t="shared" si="85"/>
        <v>0</v>
      </c>
      <c r="CZ174" s="24">
        <f t="shared" si="85"/>
        <v>0</v>
      </c>
      <c r="DA174" s="24">
        <f t="shared" si="85"/>
        <v>0</v>
      </c>
      <c r="DB174" s="24">
        <f t="shared" si="85"/>
        <v>6</v>
      </c>
      <c r="DC174" s="24">
        <f t="shared" si="85"/>
        <v>0</v>
      </c>
      <c r="DD174" s="24">
        <f t="shared" si="85"/>
        <v>0</v>
      </c>
      <c r="DE174" s="24">
        <f t="shared" si="85"/>
        <v>0</v>
      </c>
      <c r="DF174" s="24">
        <f t="shared" si="85"/>
        <v>0</v>
      </c>
      <c r="DG174" s="24">
        <f t="shared" si="85"/>
        <v>3</v>
      </c>
      <c r="DH174" s="24">
        <f t="shared" si="85"/>
        <v>1</v>
      </c>
      <c r="DI174" s="24">
        <f t="shared" si="85"/>
        <v>1</v>
      </c>
      <c r="DJ174" s="24">
        <f t="shared" si="85"/>
        <v>0</v>
      </c>
      <c r="DK174" s="24">
        <f t="shared" si="85"/>
        <v>0</v>
      </c>
      <c r="DL174" s="24">
        <f t="shared" si="85"/>
        <v>0</v>
      </c>
      <c r="DM174" s="24">
        <f t="shared" si="85"/>
        <v>4</v>
      </c>
      <c r="DN174" s="24">
        <f t="shared" si="85"/>
        <v>0</v>
      </c>
      <c r="DO174" s="24">
        <f t="shared" si="85"/>
        <v>3</v>
      </c>
      <c r="DP174" s="24">
        <f t="shared" si="85"/>
        <v>0</v>
      </c>
      <c r="DQ174" s="24">
        <f t="shared" si="85"/>
        <v>0</v>
      </c>
      <c r="DR174" s="24">
        <f t="shared" si="85"/>
        <v>0</v>
      </c>
      <c r="DS174" s="24">
        <f t="shared" si="85"/>
        <v>0</v>
      </c>
      <c r="DT174" s="24">
        <f t="shared" si="85"/>
        <v>3</v>
      </c>
      <c r="DU174" s="24">
        <f t="shared" si="85"/>
        <v>0</v>
      </c>
      <c r="DV174" s="18"/>
      <c r="DW174" s="48"/>
    </row>
    <row r="175" spans="1:127" customFormat="1">
      <c r="A175" s="210" t="s">
        <v>85</v>
      </c>
      <c r="B175" s="211"/>
      <c r="C175" s="8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30">
        <f>MEDIAN(S149:S172)</f>
        <v>67.5</v>
      </c>
      <c r="T175" s="10"/>
      <c r="U175" s="10"/>
      <c r="V175" s="10"/>
      <c r="W175" s="10"/>
      <c r="X175" s="5"/>
      <c r="Y175" s="10"/>
      <c r="Z175" s="8"/>
      <c r="AA175" s="10">
        <f>IF(ISERROR(MEDIAN(AA149:AA172)),"",MEDIAN(AA149:AA172))</f>
        <v>1285587.5</v>
      </c>
      <c r="AB175" s="10"/>
      <c r="AC175" s="8"/>
      <c r="AD175" s="10"/>
      <c r="AE175" s="30"/>
      <c r="AF175" s="10"/>
      <c r="AG175" s="8"/>
      <c r="AH175" s="10"/>
      <c r="AI175" s="10">
        <f>IF(ISERROR(MEDIAN(AI149:AI172)),"",MEDIAN(AI149:AI172))</f>
        <v>154</v>
      </c>
      <c r="AJ175" s="5">
        <f>IF(ISERROR(MEDIAN(AJ149:AJ172)),"",MEDIAN(AJ149:AJ172))</f>
        <v>24</v>
      </c>
      <c r="AK175" s="10"/>
      <c r="AL175" s="8"/>
      <c r="AM175" s="10"/>
      <c r="AN175" s="30"/>
      <c r="AO175" s="10"/>
      <c r="AP175" s="10"/>
      <c r="AQ175" s="30"/>
      <c r="AR175" s="10"/>
      <c r="AS175" s="10"/>
      <c r="AT175" s="10"/>
      <c r="AU175" s="10"/>
      <c r="AV175" s="5"/>
      <c r="AW175" s="10"/>
      <c r="AX175" s="326"/>
      <c r="AY175" s="5"/>
      <c r="AZ175" s="10"/>
      <c r="BA175" s="8">
        <f>IF(ISERROR(MEDIAN(BA149:BA172)),"",MEDIAN(BA149:BA172))</f>
        <v>1531</v>
      </c>
      <c r="BB175" s="10"/>
      <c r="BC175" s="10"/>
      <c r="BD175" s="10"/>
      <c r="BE175" s="10"/>
      <c r="BF175" s="10"/>
      <c r="BG175" s="10"/>
      <c r="BH175" s="30"/>
      <c r="BI175" s="10"/>
      <c r="BJ175" s="338"/>
      <c r="BK175" s="338"/>
      <c r="BL175" s="303"/>
      <c r="BM175" s="5"/>
      <c r="BN175" s="10"/>
      <c r="BO175" s="8"/>
      <c r="BP175" s="5"/>
      <c r="BQ175" s="10"/>
      <c r="BR175" s="65"/>
      <c r="BS175" s="19"/>
      <c r="BT175" s="14"/>
      <c r="BU175" s="10"/>
      <c r="BV175" s="8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5"/>
      <c r="DW175" s="21"/>
    </row>
    <row r="176" spans="1:127" customFormat="1" ht="12" thickBot="1">
      <c r="A176" s="214" t="s">
        <v>86</v>
      </c>
      <c r="B176" s="195"/>
      <c r="C176" s="41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32">
        <f>MODE(S149:S172)</f>
        <v>69</v>
      </c>
      <c r="T176" s="22"/>
      <c r="U176" s="22"/>
      <c r="V176" s="22"/>
      <c r="W176" s="22"/>
      <c r="X176" s="42"/>
      <c r="Y176" s="22"/>
      <c r="Z176" s="41"/>
      <c r="AA176" s="22"/>
      <c r="AB176" s="22"/>
      <c r="AC176" s="41"/>
      <c r="AD176" s="22"/>
      <c r="AE176" s="32"/>
      <c r="AF176" s="22"/>
      <c r="AG176" s="41"/>
      <c r="AH176" s="22"/>
      <c r="AI176" s="22">
        <f>IF(ISERROR(MODE(AI149:AI172)),"",MODE(AI149:AI172))</f>
        <v>154</v>
      </c>
      <c r="AJ176" s="42">
        <f>IF(ISERROR(MODE(AJ149:AJ172)),"",MODE(AJ149:AJ172))</f>
        <v>24</v>
      </c>
      <c r="AK176" s="22"/>
      <c r="AL176" s="41"/>
      <c r="AM176" s="22"/>
      <c r="AN176" s="32"/>
      <c r="AO176" s="22"/>
      <c r="AP176" s="22"/>
      <c r="AQ176" s="32"/>
      <c r="AR176" s="22"/>
      <c r="AS176" s="22"/>
      <c r="AT176" s="22"/>
      <c r="AU176" s="22"/>
      <c r="AV176" s="42"/>
      <c r="AW176" s="22"/>
      <c r="AX176" s="331"/>
      <c r="AY176" s="42"/>
      <c r="AZ176" s="22"/>
      <c r="BA176" s="41"/>
      <c r="BB176" s="22"/>
      <c r="BC176" s="22"/>
      <c r="BD176" s="22"/>
      <c r="BE176" s="22"/>
      <c r="BF176" s="22"/>
      <c r="BG176" s="22"/>
      <c r="BH176" s="32"/>
      <c r="BI176" s="22"/>
      <c r="BJ176" s="341"/>
      <c r="BK176" s="341"/>
      <c r="BL176" s="306"/>
      <c r="BM176" s="42"/>
      <c r="BN176" s="22"/>
      <c r="BO176" s="41"/>
      <c r="BP176" s="42"/>
      <c r="BQ176" s="22"/>
      <c r="BR176" s="66"/>
      <c r="BS176" s="51"/>
      <c r="BT176" s="67"/>
      <c r="BU176" s="22"/>
      <c r="BV176" s="41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42"/>
      <c r="DW176" s="23"/>
    </row>
    <row r="177" spans="1:127" customFormat="1" ht="12" thickBot="1">
      <c r="A177" s="194"/>
      <c r="B177" s="194"/>
      <c r="C177" s="8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30"/>
      <c r="T177" s="10"/>
      <c r="U177" s="10"/>
      <c r="V177" s="10"/>
      <c r="W177" s="10"/>
      <c r="X177" s="5"/>
      <c r="Z177" s="8"/>
      <c r="AA177" s="10"/>
      <c r="AB177" s="10"/>
      <c r="AC177" s="8"/>
      <c r="AD177" s="10"/>
      <c r="AE177" s="30"/>
      <c r="AG177" s="8"/>
      <c r="AH177" s="10"/>
      <c r="AI177" s="10"/>
      <c r="AJ177" s="5"/>
      <c r="AL177" s="8"/>
      <c r="AM177" s="10"/>
      <c r="AN177" s="30"/>
      <c r="AO177" s="10"/>
      <c r="AP177" s="10"/>
      <c r="AQ177" s="30"/>
      <c r="AR177" s="10"/>
      <c r="AS177" s="10"/>
      <c r="AT177" s="10"/>
      <c r="AU177" s="10"/>
      <c r="AV177" s="5"/>
      <c r="AX177" s="326"/>
      <c r="AY177" s="5"/>
      <c r="AZ177" s="324"/>
      <c r="BA177" s="8"/>
      <c r="BB177" s="10"/>
      <c r="BC177" s="10"/>
      <c r="BD177" s="10"/>
      <c r="BE177" s="10"/>
      <c r="BF177" s="10"/>
      <c r="BG177" s="10"/>
      <c r="BH177" s="30"/>
      <c r="BI177" s="10"/>
      <c r="BJ177" s="338"/>
      <c r="BK177" s="338"/>
      <c r="BL177" s="303"/>
      <c r="BM177" s="5"/>
      <c r="BO177" s="8"/>
      <c r="BP177" s="5"/>
      <c r="BR177" s="65"/>
      <c r="BS177" s="19"/>
      <c r="BT177" s="14"/>
      <c r="BV177" s="8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5"/>
    </row>
    <row r="178" spans="1:127" customFormat="1">
      <c r="A178" s="208">
        <v>34151</v>
      </c>
      <c r="B178" s="209"/>
      <c r="C178" s="36">
        <v>3</v>
      </c>
      <c r="D178" s="9">
        <v>15</v>
      </c>
      <c r="E178" s="9">
        <v>0</v>
      </c>
      <c r="F178" s="9">
        <v>0</v>
      </c>
      <c r="G178" s="9">
        <v>2</v>
      </c>
      <c r="H178" s="9">
        <v>0</v>
      </c>
      <c r="I178" s="9">
        <v>0</v>
      </c>
      <c r="J178" s="9">
        <v>1</v>
      </c>
      <c r="K178" s="9">
        <v>0</v>
      </c>
      <c r="L178" s="9">
        <v>0</v>
      </c>
      <c r="M178" s="9"/>
      <c r="N178" s="9"/>
      <c r="O178" s="9">
        <v>20</v>
      </c>
      <c r="P178" s="9">
        <v>0</v>
      </c>
      <c r="Q178" s="9">
        <v>0</v>
      </c>
      <c r="R178" s="9">
        <v>0</v>
      </c>
      <c r="S178" s="33">
        <f t="shared" ref="S178:S201" si="86">SUM(C178:R178)</f>
        <v>41</v>
      </c>
      <c r="T178" s="9">
        <v>0</v>
      </c>
      <c r="U178" s="9"/>
      <c r="V178" s="9"/>
      <c r="W178" s="9">
        <v>0</v>
      </c>
      <c r="X178" s="37"/>
      <c r="Y178" s="9"/>
      <c r="Z178" s="36"/>
      <c r="AA178" s="9">
        <v>596299</v>
      </c>
      <c r="AB178" s="9"/>
      <c r="AC178" s="36"/>
      <c r="AD178" s="9"/>
      <c r="AE178" s="33"/>
      <c r="AF178" s="9"/>
      <c r="AG178" s="36">
        <v>53</v>
      </c>
      <c r="AH178" s="9">
        <v>28</v>
      </c>
      <c r="AI178" s="9">
        <v>108</v>
      </c>
      <c r="AJ178" s="37">
        <v>16</v>
      </c>
      <c r="AK178" s="9"/>
      <c r="AL178" s="36">
        <v>33</v>
      </c>
      <c r="AM178" s="9">
        <v>149</v>
      </c>
      <c r="AN178" s="33">
        <f>SUM(AL178:AM178)</f>
        <v>182</v>
      </c>
      <c r="AO178" s="9">
        <v>172</v>
      </c>
      <c r="AP178" s="9">
        <v>32</v>
      </c>
      <c r="AQ178" s="33">
        <f>SUM(AO178:AP178)</f>
        <v>204</v>
      </c>
      <c r="AR178" s="92"/>
      <c r="AS178" s="92"/>
      <c r="AT178" s="92"/>
      <c r="AU178" s="92"/>
      <c r="AV178" s="93"/>
      <c r="AW178" s="9"/>
      <c r="AX178" s="325"/>
      <c r="AY178" s="37"/>
      <c r="AZ178" s="9"/>
      <c r="BA178" s="36">
        <v>1511</v>
      </c>
      <c r="BB178" s="9"/>
      <c r="BC178" s="9"/>
      <c r="BD178" s="9"/>
      <c r="BE178" s="9">
        <v>93</v>
      </c>
      <c r="BF178" s="9">
        <v>18</v>
      </c>
      <c r="BG178" s="9">
        <v>15</v>
      </c>
      <c r="BH178" s="350"/>
      <c r="BI178" s="9"/>
      <c r="BJ178" s="337"/>
      <c r="BK178" s="337"/>
      <c r="BL178" s="302"/>
      <c r="BM178" s="37"/>
      <c r="BN178" s="9"/>
      <c r="BO178" s="36"/>
      <c r="BP178" s="37"/>
      <c r="BQ178" s="9"/>
      <c r="BR178" s="74">
        <v>1994</v>
      </c>
      <c r="BS178" s="75">
        <v>1993</v>
      </c>
      <c r="BT178" s="13">
        <v>13</v>
      </c>
      <c r="BU178" s="9"/>
      <c r="BV178" s="36">
        <v>0</v>
      </c>
      <c r="BW178" s="9">
        <v>1</v>
      </c>
      <c r="BX178" s="9"/>
      <c r="BY178" s="9"/>
      <c r="BZ178" s="9"/>
      <c r="CA178" s="9"/>
      <c r="CB178" s="9"/>
      <c r="CC178" s="223"/>
      <c r="CD178" s="9">
        <v>0</v>
      </c>
      <c r="CE178" s="220"/>
      <c r="CF178" s="9">
        <v>2</v>
      </c>
      <c r="CG178" s="9">
        <v>0</v>
      </c>
      <c r="CH178" s="9"/>
      <c r="CI178" s="9">
        <v>1</v>
      </c>
      <c r="CJ178" s="9">
        <v>0</v>
      </c>
      <c r="CK178" s="9"/>
      <c r="CL178" s="9"/>
      <c r="CM178" s="9">
        <v>0</v>
      </c>
      <c r="CN178" s="9"/>
      <c r="CO178" s="9">
        <v>0</v>
      </c>
      <c r="CP178" s="220"/>
      <c r="CQ178" s="9"/>
      <c r="CR178" s="9"/>
      <c r="CS178" s="9">
        <v>0</v>
      </c>
      <c r="CT178" s="9">
        <v>0</v>
      </c>
      <c r="CU178" s="9">
        <v>0</v>
      </c>
      <c r="CV178" s="9">
        <v>0</v>
      </c>
      <c r="CW178" s="9"/>
      <c r="CX178" s="9"/>
      <c r="CY178" s="9">
        <v>0</v>
      </c>
      <c r="CZ178" s="9"/>
      <c r="DA178" s="9"/>
      <c r="DB178" s="9">
        <v>27</v>
      </c>
      <c r="DC178" s="9"/>
      <c r="DD178" s="9"/>
      <c r="DE178" s="9"/>
      <c r="DF178" s="9"/>
      <c r="DG178" s="9">
        <v>1</v>
      </c>
      <c r="DH178" s="9">
        <v>3</v>
      </c>
      <c r="DI178" s="9">
        <v>0</v>
      </c>
      <c r="DJ178" s="9">
        <v>0</v>
      </c>
      <c r="DK178" s="9"/>
      <c r="DL178" s="9"/>
      <c r="DM178" s="9">
        <v>3</v>
      </c>
      <c r="DN178" s="9"/>
      <c r="DO178" s="9">
        <v>2</v>
      </c>
      <c r="DP178" s="9"/>
      <c r="DQ178" s="9"/>
      <c r="DR178" s="9"/>
      <c r="DS178" s="9">
        <v>0</v>
      </c>
      <c r="DT178" s="9">
        <v>1</v>
      </c>
      <c r="DU178" s="9">
        <v>0</v>
      </c>
      <c r="DV178" s="44">
        <f t="shared" ref="DV178:DV202" si="87">SUM(BV178:DU178)</f>
        <v>41</v>
      </c>
      <c r="DW178" s="13" t="str">
        <f t="shared" ref="DW178:DW201" si="88">IF(DV178=S178,"","PROB")</f>
        <v/>
      </c>
    </row>
    <row r="179" spans="1:127" customFormat="1">
      <c r="A179" s="210">
        <v>34165</v>
      </c>
      <c r="B179" s="211"/>
      <c r="C179" s="8">
        <v>1</v>
      </c>
      <c r="D179" s="10">
        <v>21</v>
      </c>
      <c r="E179" s="10">
        <v>0</v>
      </c>
      <c r="F179" s="10">
        <v>0</v>
      </c>
      <c r="G179" s="10">
        <v>4</v>
      </c>
      <c r="H179" s="10">
        <v>4</v>
      </c>
      <c r="I179" s="10">
        <v>0</v>
      </c>
      <c r="J179" s="10">
        <v>5</v>
      </c>
      <c r="K179" s="59">
        <v>0</v>
      </c>
      <c r="L179" s="59">
        <v>0</v>
      </c>
      <c r="M179" s="59"/>
      <c r="N179" s="59"/>
      <c r="O179" s="10">
        <v>13</v>
      </c>
      <c r="P179" s="59">
        <v>0</v>
      </c>
      <c r="Q179" s="59">
        <v>0</v>
      </c>
      <c r="R179" s="10">
        <v>0</v>
      </c>
      <c r="S179" s="35">
        <f t="shared" si="86"/>
        <v>48</v>
      </c>
      <c r="T179" s="10">
        <v>1</v>
      </c>
      <c r="U179" s="10"/>
      <c r="V179" s="10"/>
      <c r="W179" s="10">
        <v>2</v>
      </c>
      <c r="X179" s="5"/>
      <c r="Y179" s="10"/>
      <c r="Z179" s="8"/>
      <c r="AA179" s="10">
        <v>1149664</v>
      </c>
      <c r="AB179" s="10"/>
      <c r="AC179" s="8"/>
      <c r="AD179" s="10"/>
      <c r="AE179" s="35"/>
      <c r="AF179" s="10"/>
      <c r="AG179" s="8">
        <v>64</v>
      </c>
      <c r="AH179" s="10">
        <v>33</v>
      </c>
      <c r="AI179" s="10">
        <v>158</v>
      </c>
      <c r="AJ179" s="5">
        <v>20</v>
      </c>
      <c r="AK179" s="10"/>
      <c r="AL179" s="8"/>
      <c r="AM179" s="10"/>
      <c r="AN179" s="35"/>
      <c r="AO179" s="10"/>
      <c r="AP179" s="10"/>
      <c r="AQ179" s="35"/>
      <c r="AR179" s="59"/>
      <c r="AS179" s="59"/>
      <c r="AT179" s="59"/>
      <c r="AU179" s="59"/>
      <c r="AV179" s="62"/>
      <c r="AW179" s="10"/>
      <c r="AX179" s="326"/>
      <c r="AY179" s="5"/>
      <c r="AZ179" s="10"/>
      <c r="BA179" s="8"/>
      <c r="BB179" s="10"/>
      <c r="BC179" s="10"/>
      <c r="BD179" s="10"/>
      <c r="BE179" s="10"/>
      <c r="BF179" s="10"/>
      <c r="BG179" s="10"/>
      <c r="BH179" s="30"/>
      <c r="BI179" s="10"/>
      <c r="BJ179" s="338"/>
      <c r="BK179" s="338"/>
      <c r="BL179" s="303"/>
      <c r="BM179" s="5"/>
      <c r="BN179" s="10"/>
      <c r="BO179" s="8"/>
      <c r="BP179" s="5"/>
      <c r="BQ179" s="10"/>
      <c r="BR179" s="29">
        <v>1994</v>
      </c>
      <c r="BS179" s="64">
        <v>1993</v>
      </c>
      <c r="BT179" s="14">
        <v>14</v>
      </c>
      <c r="BU179" s="10"/>
      <c r="BV179" s="8">
        <v>0</v>
      </c>
      <c r="BW179" s="10">
        <v>1</v>
      </c>
      <c r="BX179" s="10"/>
      <c r="BY179" s="10"/>
      <c r="BZ179" s="10"/>
      <c r="CA179" s="10"/>
      <c r="CB179" s="10"/>
      <c r="CC179" s="221"/>
      <c r="CD179" s="10">
        <v>4</v>
      </c>
      <c r="CE179" s="317"/>
      <c r="CF179" s="10">
        <v>0</v>
      </c>
      <c r="CG179" s="10">
        <v>0</v>
      </c>
      <c r="CH179" s="10"/>
      <c r="CI179" s="10">
        <v>6</v>
      </c>
      <c r="CJ179" s="10">
        <v>3</v>
      </c>
      <c r="CK179" s="10"/>
      <c r="CL179" s="10"/>
      <c r="CM179" s="10">
        <v>0</v>
      </c>
      <c r="CN179" s="10"/>
      <c r="CO179" s="10">
        <v>0</v>
      </c>
      <c r="CP179" s="317"/>
      <c r="CQ179" s="10"/>
      <c r="CR179" s="10"/>
      <c r="CS179" s="10">
        <v>0</v>
      </c>
      <c r="CT179" s="10">
        <v>6</v>
      </c>
      <c r="CU179" s="10">
        <v>0</v>
      </c>
      <c r="CV179" s="10">
        <v>2</v>
      </c>
      <c r="CW179" s="10"/>
      <c r="CX179" s="10"/>
      <c r="CY179" s="59">
        <v>0</v>
      </c>
      <c r="CZ179" s="59"/>
      <c r="DA179" s="59"/>
      <c r="DB179" s="10">
        <v>6</v>
      </c>
      <c r="DC179" s="10"/>
      <c r="DD179" s="10"/>
      <c r="DE179" s="10"/>
      <c r="DF179" s="10"/>
      <c r="DG179" s="10">
        <v>0</v>
      </c>
      <c r="DH179" s="10">
        <v>6</v>
      </c>
      <c r="DI179" s="10">
        <v>1</v>
      </c>
      <c r="DJ179" s="59">
        <v>0</v>
      </c>
      <c r="DK179" s="59"/>
      <c r="DL179" s="59"/>
      <c r="DM179" s="10">
        <v>11</v>
      </c>
      <c r="DN179" s="10"/>
      <c r="DO179" s="10">
        <v>0</v>
      </c>
      <c r="DP179" s="10"/>
      <c r="DQ179" s="10"/>
      <c r="DR179" s="10"/>
      <c r="DS179" s="59">
        <v>0</v>
      </c>
      <c r="DT179" s="10">
        <v>2</v>
      </c>
      <c r="DU179" s="10">
        <v>0</v>
      </c>
      <c r="DV179" s="38">
        <f t="shared" si="87"/>
        <v>48</v>
      </c>
      <c r="DW179" s="14" t="str">
        <f t="shared" si="88"/>
        <v/>
      </c>
    </row>
    <row r="180" spans="1:127" customFormat="1">
      <c r="A180" s="210">
        <v>34182</v>
      </c>
      <c r="B180" s="211"/>
      <c r="C180" s="8">
        <v>2</v>
      </c>
      <c r="D180" s="10">
        <v>32</v>
      </c>
      <c r="E180" s="10">
        <v>1</v>
      </c>
      <c r="F180" s="10">
        <v>0</v>
      </c>
      <c r="G180" s="10">
        <v>2</v>
      </c>
      <c r="H180" s="10">
        <v>6</v>
      </c>
      <c r="I180" s="10">
        <v>0</v>
      </c>
      <c r="J180" s="10">
        <v>8</v>
      </c>
      <c r="K180" s="59">
        <v>0</v>
      </c>
      <c r="L180" s="59">
        <v>0</v>
      </c>
      <c r="M180" s="59"/>
      <c r="N180" s="59"/>
      <c r="O180" s="10">
        <v>15</v>
      </c>
      <c r="P180" s="59">
        <v>0</v>
      </c>
      <c r="Q180" s="59">
        <v>0</v>
      </c>
      <c r="R180" s="10">
        <v>0</v>
      </c>
      <c r="S180" s="35">
        <f t="shared" si="86"/>
        <v>66</v>
      </c>
      <c r="T180" s="10">
        <v>3</v>
      </c>
      <c r="U180" s="10"/>
      <c r="V180" s="10"/>
      <c r="W180" s="10">
        <v>2</v>
      </c>
      <c r="X180" s="5"/>
      <c r="Y180" s="10"/>
      <c r="Z180" s="8"/>
      <c r="AA180" s="10">
        <v>1098550</v>
      </c>
      <c r="AB180" s="10"/>
      <c r="AC180" s="8"/>
      <c r="AD180" s="10"/>
      <c r="AE180" s="35"/>
      <c r="AF180" s="10"/>
      <c r="AG180" s="8">
        <v>126</v>
      </c>
      <c r="AH180" s="10">
        <v>13</v>
      </c>
      <c r="AI180" s="10">
        <v>172</v>
      </c>
      <c r="AJ180" s="5">
        <v>24</v>
      </c>
      <c r="AK180" s="10"/>
      <c r="AL180" s="8"/>
      <c r="AM180" s="10"/>
      <c r="AN180" s="35"/>
      <c r="AO180" s="10"/>
      <c r="AP180" s="10"/>
      <c r="AQ180" s="35"/>
      <c r="AR180" s="59"/>
      <c r="AS180" s="59"/>
      <c r="AT180" s="59"/>
      <c r="AU180" s="59"/>
      <c r="AV180" s="62"/>
      <c r="AW180" s="10"/>
      <c r="AX180" s="326"/>
      <c r="AY180" s="5"/>
      <c r="AZ180" s="10"/>
      <c r="BA180" s="8">
        <v>1528</v>
      </c>
      <c r="BB180" s="10"/>
      <c r="BC180" s="10">
        <v>17999872</v>
      </c>
      <c r="BD180" s="10"/>
      <c r="BE180" s="10">
        <v>67</v>
      </c>
      <c r="BF180" s="10">
        <v>18</v>
      </c>
      <c r="BG180" s="10">
        <v>1</v>
      </c>
      <c r="BH180" s="30"/>
      <c r="BI180" s="10"/>
      <c r="BJ180" s="338"/>
      <c r="BK180" s="338"/>
      <c r="BL180" s="303"/>
      <c r="BM180" s="5"/>
      <c r="BN180" s="10"/>
      <c r="BO180" s="8"/>
      <c r="BP180" s="5"/>
      <c r="BQ180" s="10"/>
      <c r="BR180" s="29">
        <v>1994</v>
      </c>
      <c r="BS180" s="64">
        <v>1993</v>
      </c>
      <c r="BT180" s="14">
        <v>15</v>
      </c>
      <c r="BU180" s="10"/>
      <c r="BV180" s="8">
        <v>4</v>
      </c>
      <c r="BW180" s="10">
        <v>0</v>
      </c>
      <c r="BX180" s="10"/>
      <c r="BY180" s="10"/>
      <c r="BZ180" s="10"/>
      <c r="CA180" s="10"/>
      <c r="CB180" s="10"/>
      <c r="CC180" s="221"/>
      <c r="CD180" s="10">
        <v>5</v>
      </c>
      <c r="CE180" s="317"/>
      <c r="CF180" s="10">
        <v>0</v>
      </c>
      <c r="CG180" s="10">
        <v>5</v>
      </c>
      <c r="CH180" s="10"/>
      <c r="CI180" s="10">
        <v>0</v>
      </c>
      <c r="CJ180" s="10">
        <v>18</v>
      </c>
      <c r="CK180" s="10"/>
      <c r="CL180" s="10"/>
      <c r="CM180" s="10">
        <v>0</v>
      </c>
      <c r="CN180" s="10"/>
      <c r="CO180" s="10">
        <v>2</v>
      </c>
      <c r="CP180" s="317"/>
      <c r="CQ180" s="10"/>
      <c r="CR180" s="10"/>
      <c r="CS180" s="10">
        <v>1</v>
      </c>
      <c r="CT180" s="10">
        <v>6</v>
      </c>
      <c r="CU180" s="10">
        <v>8</v>
      </c>
      <c r="CV180" s="10">
        <v>0</v>
      </c>
      <c r="CW180" s="10"/>
      <c r="CX180" s="10"/>
      <c r="CY180" s="59">
        <v>0</v>
      </c>
      <c r="CZ180" s="59"/>
      <c r="DA180" s="59"/>
      <c r="DB180" s="10">
        <v>8</v>
      </c>
      <c r="DC180" s="10"/>
      <c r="DD180" s="10"/>
      <c r="DE180" s="10"/>
      <c r="DF180" s="10"/>
      <c r="DG180" s="10">
        <v>4</v>
      </c>
      <c r="DH180" s="10">
        <v>0</v>
      </c>
      <c r="DI180" s="10">
        <v>0</v>
      </c>
      <c r="DJ180" s="59">
        <v>0</v>
      </c>
      <c r="DK180" s="59"/>
      <c r="DL180" s="59"/>
      <c r="DM180" s="10">
        <v>5</v>
      </c>
      <c r="DN180" s="10"/>
      <c r="DO180" s="10">
        <v>0</v>
      </c>
      <c r="DP180" s="10"/>
      <c r="DQ180" s="10"/>
      <c r="DR180" s="10"/>
      <c r="DS180" s="59">
        <v>0</v>
      </c>
      <c r="DT180" s="10">
        <v>0</v>
      </c>
      <c r="DU180" s="10">
        <v>0</v>
      </c>
      <c r="DV180" s="38">
        <f t="shared" si="87"/>
        <v>66</v>
      </c>
      <c r="DW180" s="14" t="str">
        <f t="shared" si="88"/>
        <v/>
      </c>
    </row>
    <row r="181" spans="1:127" customFormat="1">
      <c r="A181" s="210">
        <v>34196</v>
      </c>
      <c r="B181" s="211"/>
      <c r="C181" s="8">
        <v>5</v>
      </c>
      <c r="D181" s="10">
        <v>15</v>
      </c>
      <c r="E181" s="10">
        <v>3</v>
      </c>
      <c r="F181" s="10">
        <v>0</v>
      </c>
      <c r="G181" s="10">
        <v>0</v>
      </c>
      <c r="H181" s="10">
        <v>2</v>
      </c>
      <c r="I181" s="10">
        <v>0</v>
      </c>
      <c r="J181" s="10">
        <v>5</v>
      </c>
      <c r="K181" s="59">
        <v>0</v>
      </c>
      <c r="L181" s="59">
        <v>0</v>
      </c>
      <c r="M181" s="59"/>
      <c r="N181" s="59"/>
      <c r="O181" s="10">
        <v>23</v>
      </c>
      <c r="P181" s="59">
        <v>0</v>
      </c>
      <c r="Q181" s="59">
        <v>0</v>
      </c>
      <c r="R181" s="10">
        <v>0</v>
      </c>
      <c r="S181" s="35">
        <f t="shared" si="86"/>
        <v>53</v>
      </c>
      <c r="T181" s="10">
        <v>3</v>
      </c>
      <c r="U181" s="10"/>
      <c r="V181" s="10"/>
      <c r="W181" s="10">
        <v>0</v>
      </c>
      <c r="X181" s="5"/>
      <c r="Y181" s="10"/>
      <c r="Z181" s="8"/>
      <c r="AA181" s="10">
        <v>1174517</v>
      </c>
      <c r="AB181" s="10"/>
      <c r="AC181" s="8"/>
      <c r="AD181" s="10"/>
      <c r="AE181" s="35"/>
      <c r="AF181" s="10"/>
      <c r="AG181" s="8">
        <v>121</v>
      </c>
      <c r="AH181" s="59">
        <v>18</v>
      </c>
      <c r="AI181" s="10">
        <v>170</v>
      </c>
      <c r="AJ181" s="5">
        <v>24</v>
      </c>
      <c r="AK181" s="10"/>
      <c r="AL181" s="8"/>
      <c r="AM181" s="10"/>
      <c r="AN181" s="35"/>
      <c r="AO181" s="10"/>
      <c r="AP181" s="10"/>
      <c r="AQ181" s="35"/>
      <c r="AR181" s="59"/>
      <c r="AS181" s="59"/>
      <c r="AT181" s="59"/>
      <c r="AU181" s="59"/>
      <c r="AV181" s="62"/>
      <c r="AW181" s="10"/>
      <c r="AX181" s="326"/>
      <c r="AY181" s="5"/>
      <c r="AZ181" s="10"/>
      <c r="BA181" s="8"/>
      <c r="BB181" s="10"/>
      <c r="BC181" s="10"/>
      <c r="BD181" s="10"/>
      <c r="BE181" s="10"/>
      <c r="BF181" s="10"/>
      <c r="BG181" s="10"/>
      <c r="BH181" s="30"/>
      <c r="BI181" s="10"/>
      <c r="BJ181" s="338"/>
      <c r="BK181" s="338"/>
      <c r="BL181" s="303"/>
      <c r="BM181" s="5"/>
      <c r="BN181" s="10"/>
      <c r="BO181" s="8"/>
      <c r="BP181" s="5"/>
      <c r="BQ181" s="10"/>
      <c r="BR181" s="29">
        <v>1994</v>
      </c>
      <c r="BS181" s="64">
        <v>1993</v>
      </c>
      <c r="BT181" s="14">
        <v>16</v>
      </c>
      <c r="BU181" s="10"/>
      <c r="BV181" s="8">
        <v>5</v>
      </c>
      <c r="BW181" s="10">
        <v>0</v>
      </c>
      <c r="BX181" s="10"/>
      <c r="BY181" s="10"/>
      <c r="BZ181" s="10"/>
      <c r="CA181" s="10"/>
      <c r="CB181" s="10"/>
      <c r="CC181" s="221"/>
      <c r="CD181" s="10">
        <v>14</v>
      </c>
      <c r="CE181" s="317"/>
      <c r="CF181" s="10">
        <v>0</v>
      </c>
      <c r="CG181" s="10">
        <v>0</v>
      </c>
      <c r="CH181" s="10"/>
      <c r="CI181" s="10">
        <v>0</v>
      </c>
      <c r="CJ181" s="10">
        <v>6</v>
      </c>
      <c r="CK181" s="10"/>
      <c r="CL181" s="10"/>
      <c r="CM181" s="10">
        <v>0</v>
      </c>
      <c r="CN181" s="10"/>
      <c r="CO181" s="10">
        <v>0</v>
      </c>
      <c r="CP181" s="317"/>
      <c r="CQ181" s="10"/>
      <c r="CR181" s="10"/>
      <c r="CS181" s="10">
        <v>0</v>
      </c>
      <c r="CT181" s="10">
        <v>11</v>
      </c>
      <c r="CU181" s="10">
        <v>0</v>
      </c>
      <c r="CV181" s="10">
        <v>0</v>
      </c>
      <c r="CW181" s="10"/>
      <c r="CX181" s="10"/>
      <c r="CY181" s="59">
        <v>0</v>
      </c>
      <c r="CZ181" s="59"/>
      <c r="DA181" s="59"/>
      <c r="DB181" s="10">
        <v>1</v>
      </c>
      <c r="DC181" s="10"/>
      <c r="DD181" s="10"/>
      <c r="DE181" s="10"/>
      <c r="DF181" s="10"/>
      <c r="DG181" s="10">
        <v>0</v>
      </c>
      <c r="DH181" s="10">
        <v>8</v>
      </c>
      <c r="DI181" s="10">
        <v>8</v>
      </c>
      <c r="DJ181" s="59">
        <v>0</v>
      </c>
      <c r="DK181" s="59"/>
      <c r="DL181" s="59"/>
      <c r="DM181" s="10">
        <v>0</v>
      </c>
      <c r="DN181" s="10"/>
      <c r="DO181" s="10">
        <v>0</v>
      </c>
      <c r="DP181" s="10"/>
      <c r="DQ181" s="10"/>
      <c r="DR181" s="10"/>
      <c r="DS181" s="59">
        <v>0</v>
      </c>
      <c r="DT181" s="10">
        <v>0</v>
      </c>
      <c r="DU181" s="10">
        <v>0</v>
      </c>
      <c r="DV181" s="38">
        <f t="shared" si="87"/>
        <v>53</v>
      </c>
      <c r="DW181" s="14" t="str">
        <f t="shared" si="88"/>
        <v/>
      </c>
    </row>
    <row r="182" spans="1:127" customFormat="1">
      <c r="A182" s="210">
        <v>34213</v>
      </c>
      <c r="B182" s="211"/>
      <c r="C182" s="8">
        <v>5</v>
      </c>
      <c r="D182" s="10">
        <v>17</v>
      </c>
      <c r="E182" s="10">
        <v>0</v>
      </c>
      <c r="F182" s="10">
        <v>0</v>
      </c>
      <c r="G182" s="10">
        <v>2</v>
      </c>
      <c r="H182" s="10">
        <v>1</v>
      </c>
      <c r="I182" s="10">
        <v>0</v>
      </c>
      <c r="J182" s="10">
        <v>1</v>
      </c>
      <c r="K182" s="59">
        <v>0</v>
      </c>
      <c r="L182" s="59">
        <v>0</v>
      </c>
      <c r="M182" s="59"/>
      <c r="N182" s="59"/>
      <c r="O182" s="10">
        <v>31</v>
      </c>
      <c r="P182" s="59">
        <v>0</v>
      </c>
      <c r="Q182" s="59">
        <v>0</v>
      </c>
      <c r="R182" s="10">
        <v>0</v>
      </c>
      <c r="S182" s="35">
        <f t="shared" si="86"/>
        <v>57</v>
      </c>
      <c r="T182" s="10">
        <v>14</v>
      </c>
      <c r="U182" s="10"/>
      <c r="V182" s="10"/>
      <c r="W182" s="10">
        <v>0</v>
      </c>
      <c r="X182" s="5"/>
      <c r="Y182" s="10"/>
      <c r="Z182" s="8"/>
      <c r="AA182" s="10">
        <v>1123055</v>
      </c>
      <c r="AB182" s="10"/>
      <c r="AC182" s="8"/>
      <c r="AD182" s="10"/>
      <c r="AE182" s="35"/>
      <c r="AF182" s="10"/>
      <c r="AG182" s="8">
        <v>65</v>
      </c>
      <c r="AH182" s="59">
        <v>19</v>
      </c>
      <c r="AI182" s="10">
        <v>134</v>
      </c>
      <c r="AJ182" s="5">
        <v>10</v>
      </c>
      <c r="AK182" s="10"/>
      <c r="AL182" s="8"/>
      <c r="AM182" s="10"/>
      <c r="AN182" s="35"/>
      <c r="AO182" s="10"/>
      <c r="AP182" s="10"/>
      <c r="AQ182" s="35"/>
      <c r="AR182" s="59"/>
      <c r="AS182" s="59"/>
      <c r="AT182" s="59"/>
      <c r="AU182" s="59"/>
      <c r="AV182" s="62"/>
      <c r="AW182" s="10"/>
      <c r="AX182" s="326"/>
      <c r="AY182" s="5"/>
      <c r="AZ182" s="10"/>
      <c r="BA182" s="8">
        <v>1533</v>
      </c>
      <c r="BB182" s="10"/>
      <c r="BC182" s="10"/>
      <c r="BD182" s="10"/>
      <c r="BE182" s="10">
        <v>97</v>
      </c>
      <c r="BF182" s="10">
        <v>6</v>
      </c>
      <c r="BG182" s="10">
        <v>2</v>
      </c>
      <c r="BH182" s="30"/>
      <c r="BI182" s="10"/>
      <c r="BJ182" s="338"/>
      <c r="BK182" s="338"/>
      <c r="BL182" s="303"/>
      <c r="BM182" s="5"/>
      <c r="BN182" s="10"/>
      <c r="BO182" s="8"/>
      <c r="BP182" s="5"/>
      <c r="BQ182" s="10"/>
      <c r="BR182" s="29">
        <v>1994</v>
      </c>
      <c r="BS182" s="64">
        <v>1993</v>
      </c>
      <c r="BT182" s="14">
        <v>17</v>
      </c>
      <c r="BU182" s="10"/>
      <c r="BV182" s="8">
        <v>9</v>
      </c>
      <c r="BW182" s="10">
        <v>13</v>
      </c>
      <c r="BX182" s="10"/>
      <c r="BY182" s="10"/>
      <c r="BZ182" s="10"/>
      <c r="CA182" s="10"/>
      <c r="CB182" s="10"/>
      <c r="CC182" s="221"/>
      <c r="CD182" s="10">
        <v>0</v>
      </c>
      <c r="CE182" s="317"/>
      <c r="CF182" s="10">
        <v>0</v>
      </c>
      <c r="CG182" s="10">
        <v>0</v>
      </c>
      <c r="CH182" s="10"/>
      <c r="CI182" s="10">
        <v>1</v>
      </c>
      <c r="CJ182" s="10">
        <v>1</v>
      </c>
      <c r="CK182" s="10"/>
      <c r="CL182" s="10"/>
      <c r="CM182" s="10">
        <v>0</v>
      </c>
      <c r="CN182" s="10"/>
      <c r="CO182" s="10">
        <v>3</v>
      </c>
      <c r="CP182" s="317"/>
      <c r="CQ182" s="10"/>
      <c r="CR182" s="10"/>
      <c r="CS182" s="10">
        <v>0</v>
      </c>
      <c r="CT182" s="10">
        <v>9</v>
      </c>
      <c r="CU182" s="10">
        <v>2</v>
      </c>
      <c r="CV182" s="10">
        <v>0</v>
      </c>
      <c r="CW182" s="10"/>
      <c r="CX182" s="10"/>
      <c r="CY182" s="59">
        <v>0</v>
      </c>
      <c r="CZ182" s="59"/>
      <c r="DA182" s="59"/>
      <c r="DB182" s="10">
        <v>11</v>
      </c>
      <c r="DC182" s="10"/>
      <c r="DD182" s="10"/>
      <c r="DE182" s="10"/>
      <c r="DF182" s="10"/>
      <c r="DG182" s="10">
        <v>4</v>
      </c>
      <c r="DH182" s="10">
        <v>1</v>
      </c>
      <c r="DI182" s="10">
        <v>0</v>
      </c>
      <c r="DJ182" s="59">
        <v>0</v>
      </c>
      <c r="DK182" s="59"/>
      <c r="DL182" s="59"/>
      <c r="DM182" s="10">
        <v>3</v>
      </c>
      <c r="DN182" s="10"/>
      <c r="DO182" s="10">
        <v>0</v>
      </c>
      <c r="DP182" s="10"/>
      <c r="DQ182" s="10"/>
      <c r="DR182" s="10"/>
      <c r="DS182" s="59">
        <v>0</v>
      </c>
      <c r="DT182" s="10">
        <v>0</v>
      </c>
      <c r="DU182" s="10">
        <v>0</v>
      </c>
      <c r="DV182" s="38">
        <f t="shared" si="87"/>
        <v>57</v>
      </c>
      <c r="DW182" s="14" t="str">
        <f t="shared" si="88"/>
        <v/>
      </c>
    </row>
    <row r="183" spans="1:127" customFormat="1">
      <c r="A183" s="210">
        <v>34227</v>
      </c>
      <c r="B183" s="211"/>
      <c r="C183" s="8">
        <v>13</v>
      </c>
      <c r="D183" s="10">
        <v>26</v>
      </c>
      <c r="E183" s="10">
        <v>7</v>
      </c>
      <c r="F183" s="10">
        <v>0</v>
      </c>
      <c r="G183" s="10">
        <v>1</v>
      </c>
      <c r="H183" s="10">
        <v>0</v>
      </c>
      <c r="I183" s="10">
        <v>0</v>
      </c>
      <c r="J183" s="10">
        <v>8</v>
      </c>
      <c r="K183" s="59">
        <v>0</v>
      </c>
      <c r="L183" s="59">
        <v>0</v>
      </c>
      <c r="M183" s="59"/>
      <c r="N183" s="59"/>
      <c r="O183" s="10">
        <v>14</v>
      </c>
      <c r="P183" s="59">
        <v>0</v>
      </c>
      <c r="Q183" s="59">
        <v>0</v>
      </c>
      <c r="R183" s="10">
        <v>0</v>
      </c>
      <c r="S183" s="35">
        <f t="shared" si="86"/>
        <v>69</v>
      </c>
      <c r="T183" s="10">
        <v>0</v>
      </c>
      <c r="U183" s="10"/>
      <c r="V183" s="10"/>
      <c r="W183" s="10">
        <v>8</v>
      </c>
      <c r="X183" s="5"/>
      <c r="Y183" s="10"/>
      <c r="Z183" s="8"/>
      <c r="AA183" s="10">
        <v>1471193</v>
      </c>
      <c r="AB183" s="10"/>
      <c r="AC183" s="8"/>
      <c r="AD183" s="10"/>
      <c r="AE183" s="35"/>
      <c r="AF183" s="10"/>
      <c r="AG183" s="8">
        <v>143</v>
      </c>
      <c r="AH183" s="59">
        <v>1</v>
      </c>
      <c r="AI183" s="10">
        <v>166</v>
      </c>
      <c r="AJ183" s="5">
        <v>20</v>
      </c>
      <c r="AK183" s="10"/>
      <c r="AL183" s="8"/>
      <c r="AM183" s="10"/>
      <c r="AN183" s="35"/>
      <c r="AO183" s="10"/>
      <c r="AP183" s="10"/>
      <c r="AQ183" s="35"/>
      <c r="AR183" s="59"/>
      <c r="AS183" s="59"/>
      <c r="AT183" s="59"/>
      <c r="AU183" s="59"/>
      <c r="AV183" s="62"/>
      <c r="AW183" s="10"/>
      <c r="AX183" s="326"/>
      <c r="AY183" s="5"/>
      <c r="AZ183" s="10"/>
      <c r="BA183" s="8"/>
      <c r="BB183" s="10"/>
      <c r="BC183" s="10"/>
      <c r="BD183" s="10"/>
      <c r="BE183" s="10"/>
      <c r="BF183" s="10"/>
      <c r="BG183" s="10"/>
      <c r="BH183" s="30"/>
      <c r="BI183" s="10"/>
      <c r="BJ183" s="338"/>
      <c r="BK183" s="338"/>
      <c r="BL183" s="303"/>
      <c r="BM183" s="5"/>
      <c r="BN183" s="10"/>
      <c r="BO183" s="8"/>
      <c r="BP183" s="5"/>
      <c r="BQ183" s="10"/>
      <c r="BR183" s="29">
        <v>1994</v>
      </c>
      <c r="BS183" s="64">
        <v>1993</v>
      </c>
      <c r="BT183" s="14">
        <v>18</v>
      </c>
      <c r="BU183" s="10"/>
      <c r="BV183" s="8">
        <v>29</v>
      </c>
      <c r="BW183" s="10">
        <v>1</v>
      </c>
      <c r="BX183" s="10"/>
      <c r="BY183" s="10"/>
      <c r="BZ183" s="10"/>
      <c r="CA183" s="10"/>
      <c r="CB183" s="10"/>
      <c r="CC183" s="221"/>
      <c r="CD183" s="10">
        <v>1</v>
      </c>
      <c r="CE183" s="317"/>
      <c r="CF183" s="10">
        <v>1</v>
      </c>
      <c r="CG183" s="10">
        <v>0</v>
      </c>
      <c r="CH183" s="10"/>
      <c r="CI183" s="10">
        <v>1</v>
      </c>
      <c r="CJ183" s="10">
        <v>5</v>
      </c>
      <c r="CK183" s="10"/>
      <c r="CL183" s="10"/>
      <c r="CM183" s="10">
        <v>0</v>
      </c>
      <c r="CN183" s="10"/>
      <c r="CO183" s="10">
        <v>4</v>
      </c>
      <c r="CP183" s="317"/>
      <c r="CQ183" s="10"/>
      <c r="CR183" s="10"/>
      <c r="CS183" s="10">
        <v>0</v>
      </c>
      <c r="CT183" s="10">
        <v>3</v>
      </c>
      <c r="CU183" s="10">
        <v>0</v>
      </c>
      <c r="CV183" s="10">
        <v>1</v>
      </c>
      <c r="CW183" s="10"/>
      <c r="CX183" s="10"/>
      <c r="CY183" s="59">
        <v>0</v>
      </c>
      <c r="CZ183" s="59"/>
      <c r="DA183" s="59"/>
      <c r="DB183" s="10">
        <v>7</v>
      </c>
      <c r="DC183" s="10"/>
      <c r="DD183" s="10"/>
      <c r="DE183" s="10"/>
      <c r="DF183" s="10"/>
      <c r="DG183" s="10">
        <v>7</v>
      </c>
      <c r="DH183" s="10">
        <v>1</v>
      </c>
      <c r="DI183" s="10">
        <v>0</v>
      </c>
      <c r="DJ183" s="59">
        <v>0</v>
      </c>
      <c r="DK183" s="59"/>
      <c r="DL183" s="59"/>
      <c r="DM183" s="10">
        <v>0</v>
      </c>
      <c r="DN183" s="10"/>
      <c r="DO183" s="10">
        <v>0</v>
      </c>
      <c r="DP183" s="10"/>
      <c r="DQ183" s="10"/>
      <c r="DR183" s="10"/>
      <c r="DS183" s="59">
        <v>0</v>
      </c>
      <c r="DT183" s="10">
        <v>8</v>
      </c>
      <c r="DU183" s="10">
        <v>0</v>
      </c>
      <c r="DV183" s="38">
        <f t="shared" si="87"/>
        <v>69</v>
      </c>
      <c r="DW183" s="14" t="str">
        <f t="shared" si="88"/>
        <v/>
      </c>
    </row>
    <row r="184" spans="1:127" customFormat="1">
      <c r="A184" s="210">
        <v>34243</v>
      </c>
      <c r="B184" s="211"/>
      <c r="C184" s="8">
        <v>6</v>
      </c>
      <c r="D184" s="10">
        <v>30</v>
      </c>
      <c r="E184" s="10">
        <v>2</v>
      </c>
      <c r="F184" s="10">
        <v>0</v>
      </c>
      <c r="G184" s="10">
        <v>1</v>
      </c>
      <c r="H184" s="10">
        <v>0</v>
      </c>
      <c r="I184" s="10">
        <v>0</v>
      </c>
      <c r="J184" s="10">
        <v>2</v>
      </c>
      <c r="K184" s="59">
        <v>0</v>
      </c>
      <c r="L184" s="59">
        <v>0</v>
      </c>
      <c r="M184" s="59"/>
      <c r="N184" s="59"/>
      <c r="O184" s="10">
        <v>5</v>
      </c>
      <c r="P184" s="59">
        <v>0</v>
      </c>
      <c r="Q184" s="59">
        <v>0</v>
      </c>
      <c r="R184" s="10">
        <v>0</v>
      </c>
      <c r="S184" s="35">
        <f t="shared" si="86"/>
        <v>46</v>
      </c>
      <c r="T184" s="10">
        <v>1</v>
      </c>
      <c r="U184" s="10"/>
      <c r="V184" s="10"/>
      <c r="W184" s="10">
        <v>2</v>
      </c>
      <c r="X184" s="5"/>
      <c r="Y184" s="10"/>
      <c r="Z184" s="8"/>
      <c r="AA184" s="10">
        <v>1126908</v>
      </c>
      <c r="AB184" s="10"/>
      <c r="AC184" s="8"/>
      <c r="AD184" s="10"/>
      <c r="AE184" s="35"/>
      <c r="AF184" s="10"/>
      <c r="AG184" s="8">
        <v>108</v>
      </c>
      <c r="AH184" s="59">
        <v>12</v>
      </c>
      <c r="AI184" s="10">
        <v>162</v>
      </c>
      <c r="AJ184" s="5">
        <v>16</v>
      </c>
      <c r="AK184" s="10"/>
      <c r="AL184" s="8"/>
      <c r="AM184" s="10"/>
      <c r="AN184" s="35"/>
      <c r="AO184" s="10"/>
      <c r="AP184" s="10"/>
      <c r="AQ184" s="35"/>
      <c r="AR184" s="59"/>
      <c r="AS184" s="59"/>
      <c r="AT184" s="59"/>
      <c r="AU184" s="59"/>
      <c r="AV184" s="62"/>
      <c r="AW184" s="10"/>
      <c r="AX184" s="326"/>
      <c r="AY184" s="5"/>
      <c r="AZ184" s="10"/>
      <c r="BA184" s="8">
        <v>1538</v>
      </c>
      <c r="BB184" s="10"/>
      <c r="BC184" s="10"/>
      <c r="BD184" s="10"/>
      <c r="BE184" s="10">
        <v>49</v>
      </c>
      <c r="BF184" s="10">
        <v>6</v>
      </c>
      <c r="BG184" s="10">
        <v>0</v>
      </c>
      <c r="BH184" s="30"/>
      <c r="BI184" s="10"/>
      <c r="BJ184" s="338"/>
      <c r="BK184" s="338"/>
      <c r="BL184" s="303"/>
      <c r="BM184" s="5"/>
      <c r="BN184" s="10"/>
      <c r="BO184" s="8"/>
      <c r="BP184" s="5"/>
      <c r="BQ184" s="10"/>
      <c r="BR184" s="29">
        <v>1994</v>
      </c>
      <c r="BS184" s="64">
        <v>1993</v>
      </c>
      <c r="BT184" s="14">
        <v>19</v>
      </c>
      <c r="BU184" s="10"/>
      <c r="BV184" s="8">
        <v>2</v>
      </c>
      <c r="BW184" s="10">
        <v>0</v>
      </c>
      <c r="BX184" s="10"/>
      <c r="BY184" s="10"/>
      <c r="BZ184" s="10"/>
      <c r="CA184" s="10"/>
      <c r="CB184" s="10"/>
      <c r="CC184" s="221"/>
      <c r="CD184" s="10">
        <v>3</v>
      </c>
      <c r="CE184" s="317"/>
      <c r="CF184" s="10">
        <v>1</v>
      </c>
      <c r="CG184" s="10">
        <v>1</v>
      </c>
      <c r="CH184" s="10"/>
      <c r="CI184" s="10">
        <v>5</v>
      </c>
      <c r="CJ184" s="10">
        <v>13</v>
      </c>
      <c r="CK184" s="10"/>
      <c r="CL184" s="10"/>
      <c r="CM184" s="10">
        <v>0</v>
      </c>
      <c r="CN184" s="10"/>
      <c r="CO184" s="10">
        <v>0</v>
      </c>
      <c r="CP184" s="317"/>
      <c r="CQ184" s="10"/>
      <c r="CR184" s="10"/>
      <c r="CS184" s="10">
        <v>0</v>
      </c>
      <c r="CT184" s="10">
        <v>4</v>
      </c>
      <c r="CU184" s="10">
        <v>0</v>
      </c>
      <c r="CV184" s="10">
        <v>8</v>
      </c>
      <c r="CW184" s="10"/>
      <c r="CX184" s="10"/>
      <c r="CY184" s="59">
        <v>0</v>
      </c>
      <c r="CZ184" s="59"/>
      <c r="DA184" s="59"/>
      <c r="DB184" s="10">
        <v>0</v>
      </c>
      <c r="DC184" s="10"/>
      <c r="DD184" s="10"/>
      <c r="DE184" s="10"/>
      <c r="DF184" s="10"/>
      <c r="DG184" s="10">
        <v>0</v>
      </c>
      <c r="DH184" s="10">
        <v>1</v>
      </c>
      <c r="DI184" s="10">
        <v>2</v>
      </c>
      <c r="DJ184" s="59">
        <v>0</v>
      </c>
      <c r="DK184" s="59"/>
      <c r="DL184" s="59"/>
      <c r="DM184" s="10">
        <v>1</v>
      </c>
      <c r="DN184" s="10"/>
      <c r="DO184" s="10">
        <v>2</v>
      </c>
      <c r="DP184" s="10"/>
      <c r="DQ184" s="10"/>
      <c r="DR184" s="10"/>
      <c r="DS184" s="59">
        <v>0</v>
      </c>
      <c r="DT184" s="10">
        <v>3</v>
      </c>
      <c r="DU184" s="10">
        <v>0</v>
      </c>
      <c r="DV184" s="38">
        <f t="shared" si="87"/>
        <v>46</v>
      </c>
      <c r="DW184" s="14" t="str">
        <f t="shared" si="88"/>
        <v/>
      </c>
    </row>
    <row r="185" spans="1:127" customFormat="1">
      <c r="A185" s="210">
        <v>34257</v>
      </c>
      <c r="B185" s="211"/>
      <c r="C185" s="8">
        <v>3</v>
      </c>
      <c r="D185" s="10">
        <v>22</v>
      </c>
      <c r="E185" s="10">
        <v>5</v>
      </c>
      <c r="F185" s="10">
        <v>0</v>
      </c>
      <c r="G185" s="10">
        <v>5</v>
      </c>
      <c r="H185" s="10">
        <v>5</v>
      </c>
      <c r="I185" s="10">
        <v>0</v>
      </c>
      <c r="J185" s="10">
        <v>13</v>
      </c>
      <c r="K185" s="59">
        <v>0</v>
      </c>
      <c r="L185" s="59">
        <v>0</v>
      </c>
      <c r="M185" s="59"/>
      <c r="N185" s="59"/>
      <c r="O185" s="10">
        <v>42</v>
      </c>
      <c r="P185" s="59">
        <v>0</v>
      </c>
      <c r="Q185" s="59">
        <v>0</v>
      </c>
      <c r="R185" s="10">
        <v>0</v>
      </c>
      <c r="S185" s="35">
        <f t="shared" si="86"/>
        <v>95</v>
      </c>
      <c r="T185" s="10">
        <v>18</v>
      </c>
      <c r="U185" s="10"/>
      <c r="V185" s="10"/>
      <c r="W185" s="10">
        <v>4</v>
      </c>
      <c r="X185" s="5"/>
      <c r="Y185" s="10"/>
      <c r="Z185" s="8"/>
      <c r="AA185" s="10">
        <v>2306145</v>
      </c>
      <c r="AB185" s="10"/>
      <c r="AC185" s="8"/>
      <c r="AD185" s="10"/>
      <c r="AE185" s="35"/>
      <c r="AF185" s="10"/>
      <c r="AG185" s="8">
        <v>84</v>
      </c>
      <c r="AH185" s="59">
        <v>23</v>
      </c>
      <c r="AI185" s="10">
        <v>142</v>
      </c>
      <c r="AJ185" s="5">
        <v>16</v>
      </c>
      <c r="AK185" s="10"/>
      <c r="AL185" s="8"/>
      <c r="AM185" s="10"/>
      <c r="AN185" s="35"/>
      <c r="AO185" s="10"/>
      <c r="AP185" s="10"/>
      <c r="AQ185" s="35"/>
      <c r="AR185" s="59"/>
      <c r="AS185" s="59"/>
      <c r="AT185" s="59"/>
      <c r="AU185" s="59"/>
      <c r="AV185" s="62"/>
      <c r="AW185" s="10"/>
      <c r="AX185" s="326"/>
      <c r="AY185" s="5"/>
      <c r="AZ185" s="10"/>
      <c r="BA185" s="8"/>
      <c r="BB185" s="10"/>
      <c r="BC185" s="10"/>
      <c r="BD185" s="10"/>
      <c r="BE185" s="10"/>
      <c r="BF185" s="10"/>
      <c r="BG185" s="10"/>
      <c r="BH185" s="30"/>
      <c r="BI185" s="10"/>
      <c r="BJ185" s="338"/>
      <c r="BK185" s="338"/>
      <c r="BL185" s="303"/>
      <c r="BM185" s="5"/>
      <c r="BN185" s="10"/>
      <c r="BO185" s="8"/>
      <c r="BP185" s="5"/>
      <c r="BQ185" s="10"/>
      <c r="BR185" s="29">
        <v>1994</v>
      </c>
      <c r="BS185" s="64">
        <v>1993</v>
      </c>
      <c r="BT185" s="14">
        <v>20</v>
      </c>
      <c r="BU185" s="10"/>
      <c r="BV185" s="8">
        <v>5</v>
      </c>
      <c r="BW185" s="10">
        <v>8</v>
      </c>
      <c r="BX185" s="10"/>
      <c r="BY185" s="10"/>
      <c r="BZ185" s="10"/>
      <c r="CA185" s="10"/>
      <c r="CB185" s="10"/>
      <c r="CC185" s="221"/>
      <c r="CD185" s="10">
        <v>5</v>
      </c>
      <c r="CE185" s="317"/>
      <c r="CF185" s="10">
        <v>7</v>
      </c>
      <c r="CG185" s="10">
        <v>1</v>
      </c>
      <c r="CH185" s="10"/>
      <c r="CI185" s="10">
        <v>0</v>
      </c>
      <c r="CJ185" s="10">
        <v>13</v>
      </c>
      <c r="CK185" s="10"/>
      <c r="CL185" s="10"/>
      <c r="CM185" s="10">
        <v>5</v>
      </c>
      <c r="CN185" s="10"/>
      <c r="CO185" s="10">
        <v>2</v>
      </c>
      <c r="CP185" s="317"/>
      <c r="CQ185" s="10"/>
      <c r="CR185" s="10"/>
      <c r="CS185" s="10">
        <v>0</v>
      </c>
      <c r="CT185" s="10">
        <v>20</v>
      </c>
      <c r="CU185" s="10">
        <v>20</v>
      </c>
      <c r="CV185" s="10">
        <v>2</v>
      </c>
      <c r="CW185" s="10"/>
      <c r="CX185" s="10"/>
      <c r="CY185" s="59">
        <v>0</v>
      </c>
      <c r="CZ185" s="59"/>
      <c r="DA185" s="59"/>
      <c r="DB185" s="10">
        <v>7</v>
      </c>
      <c r="DC185" s="10"/>
      <c r="DD185" s="10"/>
      <c r="DE185" s="10"/>
      <c r="DF185" s="10"/>
      <c r="DG185" s="10">
        <v>0</v>
      </c>
      <c r="DH185" s="10">
        <v>0</v>
      </c>
      <c r="DI185" s="10">
        <v>0</v>
      </c>
      <c r="DJ185" s="59">
        <v>0</v>
      </c>
      <c r="DK185" s="59"/>
      <c r="DL185" s="59"/>
      <c r="DM185" s="10">
        <v>0</v>
      </c>
      <c r="DN185" s="10"/>
      <c r="DO185" s="10">
        <v>0</v>
      </c>
      <c r="DP185" s="10"/>
      <c r="DQ185" s="10"/>
      <c r="DR185" s="10"/>
      <c r="DS185" s="59">
        <v>0</v>
      </c>
      <c r="DT185" s="10">
        <v>0</v>
      </c>
      <c r="DU185" s="10">
        <v>0</v>
      </c>
      <c r="DV185" s="38">
        <f t="shared" si="87"/>
        <v>95</v>
      </c>
      <c r="DW185" s="14" t="str">
        <f t="shared" si="88"/>
        <v/>
      </c>
    </row>
    <row r="186" spans="1:127" customFormat="1">
      <c r="A186" s="210">
        <v>34274</v>
      </c>
      <c r="B186" s="211"/>
      <c r="C186" s="8">
        <v>2</v>
      </c>
      <c r="D186" s="10">
        <v>13</v>
      </c>
      <c r="E186" s="10">
        <v>0</v>
      </c>
      <c r="F186" s="10">
        <v>0</v>
      </c>
      <c r="G186" s="10">
        <v>1</v>
      </c>
      <c r="H186" s="10">
        <v>1</v>
      </c>
      <c r="I186" s="10">
        <v>0</v>
      </c>
      <c r="J186" s="10">
        <v>1</v>
      </c>
      <c r="K186" s="59">
        <v>0</v>
      </c>
      <c r="L186" s="59">
        <v>0</v>
      </c>
      <c r="M186" s="59"/>
      <c r="N186" s="59"/>
      <c r="O186" s="10">
        <v>6</v>
      </c>
      <c r="P186" s="59">
        <v>0</v>
      </c>
      <c r="Q186" s="59">
        <v>0</v>
      </c>
      <c r="R186" s="10">
        <v>0</v>
      </c>
      <c r="S186" s="35">
        <f t="shared" si="86"/>
        <v>24</v>
      </c>
      <c r="T186" s="10">
        <v>0</v>
      </c>
      <c r="U186" s="10"/>
      <c r="V186" s="10"/>
      <c r="W186" s="10">
        <v>0</v>
      </c>
      <c r="X186" s="5"/>
      <c r="Y186" s="10"/>
      <c r="Z186" s="8"/>
      <c r="AA186" s="10">
        <v>468448</v>
      </c>
      <c r="AB186" s="10"/>
      <c r="AC186" s="8"/>
      <c r="AD186" s="10"/>
      <c r="AE186" s="35"/>
      <c r="AF186" s="10"/>
      <c r="AG186" s="8">
        <v>45</v>
      </c>
      <c r="AH186" s="59">
        <v>56</v>
      </c>
      <c r="AI186" s="10">
        <v>118</v>
      </c>
      <c r="AJ186" s="5">
        <v>12</v>
      </c>
      <c r="AK186" s="10"/>
      <c r="AL186" s="8"/>
      <c r="AM186" s="10"/>
      <c r="AN186" s="35"/>
      <c r="AO186" s="10"/>
      <c r="AP186" s="10"/>
      <c r="AQ186" s="35"/>
      <c r="AR186" s="59"/>
      <c r="AS186" s="59"/>
      <c r="AT186" s="59"/>
      <c r="AU186" s="59"/>
      <c r="AV186" s="62"/>
      <c r="AW186" s="10"/>
      <c r="AX186" s="326"/>
      <c r="AY186" s="5"/>
      <c r="AZ186" s="10"/>
      <c r="BA186" s="8">
        <v>1543</v>
      </c>
      <c r="BB186" s="10"/>
      <c r="BC186" s="10">
        <v>18188288</v>
      </c>
      <c r="BD186" s="10"/>
      <c r="BE186" s="10">
        <v>63</v>
      </c>
      <c r="BF186" s="10">
        <v>10</v>
      </c>
      <c r="BG186" s="10">
        <v>5</v>
      </c>
      <c r="BH186" s="30"/>
      <c r="BI186" s="10"/>
      <c r="BJ186" s="338"/>
      <c r="BK186" s="338"/>
      <c r="BL186" s="303"/>
      <c r="BM186" s="5"/>
      <c r="BN186" s="10"/>
      <c r="BO186" s="8"/>
      <c r="BP186" s="5"/>
      <c r="BQ186" s="10"/>
      <c r="BR186" s="29">
        <v>1994</v>
      </c>
      <c r="BS186" s="64">
        <v>1993</v>
      </c>
      <c r="BT186" s="14">
        <v>21</v>
      </c>
      <c r="BU186" s="10"/>
      <c r="BV186" s="8">
        <v>1</v>
      </c>
      <c r="BW186" s="10">
        <v>0</v>
      </c>
      <c r="BX186" s="10"/>
      <c r="BY186" s="10"/>
      <c r="BZ186" s="10"/>
      <c r="CA186" s="10"/>
      <c r="CB186" s="10"/>
      <c r="CC186" s="221"/>
      <c r="CD186" s="10">
        <v>0</v>
      </c>
      <c r="CE186" s="317"/>
      <c r="CF186" s="10">
        <v>0</v>
      </c>
      <c r="CG186" s="10">
        <v>1</v>
      </c>
      <c r="CH186" s="10"/>
      <c r="CI186" s="10">
        <v>0</v>
      </c>
      <c r="CJ186" s="10">
        <v>3</v>
      </c>
      <c r="CK186" s="10"/>
      <c r="CL186" s="10"/>
      <c r="CM186" s="10">
        <v>0</v>
      </c>
      <c r="CN186" s="10"/>
      <c r="CO186" s="10">
        <v>3</v>
      </c>
      <c r="CP186" s="317"/>
      <c r="CQ186" s="10"/>
      <c r="CR186" s="10"/>
      <c r="CS186" s="10">
        <v>0</v>
      </c>
      <c r="CT186" s="10">
        <v>6</v>
      </c>
      <c r="CU186" s="10">
        <v>1</v>
      </c>
      <c r="CV186" s="10">
        <v>1</v>
      </c>
      <c r="CW186" s="10"/>
      <c r="CX186" s="10"/>
      <c r="CY186" s="59">
        <v>0</v>
      </c>
      <c r="CZ186" s="59"/>
      <c r="DA186" s="59"/>
      <c r="DB186" s="10">
        <v>1</v>
      </c>
      <c r="DC186" s="10"/>
      <c r="DD186" s="10"/>
      <c r="DE186" s="10"/>
      <c r="DF186" s="10"/>
      <c r="DG186" s="10">
        <v>3</v>
      </c>
      <c r="DH186" s="10">
        <v>1</v>
      </c>
      <c r="DI186" s="10">
        <v>0</v>
      </c>
      <c r="DJ186" s="59">
        <v>0</v>
      </c>
      <c r="DK186" s="59"/>
      <c r="DL186" s="59"/>
      <c r="DM186" s="10">
        <v>2</v>
      </c>
      <c r="DN186" s="10"/>
      <c r="DO186" s="10">
        <v>0</v>
      </c>
      <c r="DP186" s="10"/>
      <c r="DQ186" s="10"/>
      <c r="DR186" s="10"/>
      <c r="DS186" s="59">
        <v>0</v>
      </c>
      <c r="DT186" s="10">
        <v>1</v>
      </c>
      <c r="DU186" s="10">
        <v>0</v>
      </c>
      <c r="DV186" s="38">
        <f t="shared" si="87"/>
        <v>24</v>
      </c>
      <c r="DW186" s="14" t="str">
        <f t="shared" si="88"/>
        <v/>
      </c>
    </row>
    <row r="187" spans="1:127" customFormat="1">
      <c r="A187" s="210">
        <v>34288</v>
      </c>
      <c r="B187" s="211"/>
      <c r="C187" s="8">
        <v>4</v>
      </c>
      <c r="D187" s="10">
        <v>19</v>
      </c>
      <c r="E187" s="10">
        <v>6</v>
      </c>
      <c r="F187" s="10">
        <v>0</v>
      </c>
      <c r="G187" s="10">
        <v>2</v>
      </c>
      <c r="H187" s="10">
        <v>1</v>
      </c>
      <c r="I187" s="10">
        <v>0</v>
      </c>
      <c r="J187" s="10">
        <v>2</v>
      </c>
      <c r="K187" s="59">
        <v>0</v>
      </c>
      <c r="L187" s="59">
        <v>0</v>
      </c>
      <c r="M187" s="59"/>
      <c r="N187" s="59"/>
      <c r="O187" s="10">
        <v>36</v>
      </c>
      <c r="P187" s="59">
        <v>0</v>
      </c>
      <c r="Q187" s="59">
        <v>0</v>
      </c>
      <c r="R187" s="10">
        <v>0</v>
      </c>
      <c r="S187" s="35">
        <f t="shared" si="86"/>
        <v>70</v>
      </c>
      <c r="T187" s="10">
        <v>13</v>
      </c>
      <c r="U187" s="10"/>
      <c r="V187" s="10"/>
      <c r="W187" s="10">
        <v>0</v>
      </c>
      <c r="X187" s="5"/>
      <c r="Y187" s="10"/>
      <c r="Z187" s="8"/>
      <c r="AA187" s="10">
        <v>1626640</v>
      </c>
      <c r="AB187" s="10"/>
      <c r="AC187" s="8"/>
      <c r="AD187" s="10"/>
      <c r="AE187" s="35"/>
      <c r="AF187" s="10"/>
      <c r="AG187" s="8">
        <v>109</v>
      </c>
      <c r="AH187" s="59">
        <v>25</v>
      </c>
      <c r="AI187" s="10">
        <v>166</v>
      </c>
      <c r="AJ187" s="5">
        <v>14</v>
      </c>
      <c r="AK187" s="10"/>
      <c r="AL187" s="8"/>
      <c r="AM187" s="10"/>
      <c r="AN187" s="35"/>
      <c r="AO187" s="10"/>
      <c r="AP187" s="10"/>
      <c r="AQ187" s="35"/>
      <c r="AR187" s="59"/>
      <c r="AS187" s="59"/>
      <c r="AT187" s="59"/>
      <c r="AU187" s="59"/>
      <c r="AV187" s="62"/>
      <c r="AW187" s="10"/>
      <c r="AX187" s="326"/>
      <c r="AY187" s="5"/>
      <c r="AZ187" s="10"/>
      <c r="BA187" s="8"/>
      <c r="BB187" s="10"/>
      <c r="BC187" s="10"/>
      <c r="BD187" s="10"/>
      <c r="BE187" s="10"/>
      <c r="BF187" s="10"/>
      <c r="BG187" s="10"/>
      <c r="BH187" s="30"/>
      <c r="BI187" s="10"/>
      <c r="BJ187" s="338"/>
      <c r="BK187" s="338"/>
      <c r="BL187" s="303"/>
      <c r="BM187" s="5"/>
      <c r="BN187" s="10"/>
      <c r="BO187" s="8"/>
      <c r="BP187" s="5"/>
      <c r="BQ187" s="10"/>
      <c r="BR187" s="29">
        <v>1994</v>
      </c>
      <c r="BS187" s="64">
        <v>1993</v>
      </c>
      <c r="BT187" s="14">
        <v>22</v>
      </c>
      <c r="BU187" s="10"/>
      <c r="BV187" s="8">
        <v>5</v>
      </c>
      <c r="BW187" s="10">
        <v>6</v>
      </c>
      <c r="BX187" s="10"/>
      <c r="BY187" s="10"/>
      <c r="BZ187" s="10"/>
      <c r="CA187" s="10"/>
      <c r="CB187" s="10"/>
      <c r="CC187" s="221"/>
      <c r="CD187" s="10">
        <v>3</v>
      </c>
      <c r="CE187" s="317"/>
      <c r="CF187" s="10">
        <v>0</v>
      </c>
      <c r="CG187" s="10">
        <v>0</v>
      </c>
      <c r="CH187" s="10"/>
      <c r="CI187" s="10">
        <v>0</v>
      </c>
      <c r="CJ187" s="10">
        <v>3</v>
      </c>
      <c r="CK187" s="10"/>
      <c r="CL187" s="10"/>
      <c r="CM187" s="10">
        <v>0</v>
      </c>
      <c r="CN187" s="10"/>
      <c r="CO187" s="10">
        <v>7</v>
      </c>
      <c r="CP187" s="317"/>
      <c r="CQ187" s="10"/>
      <c r="CR187" s="10"/>
      <c r="CS187" s="10">
        <v>0</v>
      </c>
      <c r="CT187" s="10">
        <v>16</v>
      </c>
      <c r="CU187" s="10">
        <v>8</v>
      </c>
      <c r="CV187" s="10">
        <v>0</v>
      </c>
      <c r="CW187" s="10"/>
      <c r="CX187" s="10"/>
      <c r="CY187" s="59">
        <v>0</v>
      </c>
      <c r="CZ187" s="59"/>
      <c r="DA187" s="59"/>
      <c r="DB187" s="10">
        <v>2</v>
      </c>
      <c r="DC187" s="10"/>
      <c r="DD187" s="10"/>
      <c r="DE187" s="10"/>
      <c r="DF187" s="10"/>
      <c r="DG187" s="10">
        <v>2</v>
      </c>
      <c r="DH187" s="10">
        <v>3</v>
      </c>
      <c r="DI187" s="10">
        <v>0</v>
      </c>
      <c r="DJ187" s="59">
        <v>0</v>
      </c>
      <c r="DK187" s="59"/>
      <c r="DL187" s="59"/>
      <c r="DM187" s="10">
        <v>0</v>
      </c>
      <c r="DN187" s="10"/>
      <c r="DO187" s="10">
        <v>4</v>
      </c>
      <c r="DP187" s="10"/>
      <c r="DQ187" s="10"/>
      <c r="DR187" s="10"/>
      <c r="DS187" s="59">
        <v>0</v>
      </c>
      <c r="DT187" s="10">
        <v>11</v>
      </c>
      <c r="DU187" s="10">
        <v>0</v>
      </c>
      <c r="DV187" s="38">
        <f t="shared" si="87"/>
        <v>70</v>
      </c>
      <c r="DW187" s="14" t="str">
        <f t="shared" si="88"/>
        <v/>
      </c>
    </row>
    <row r="188" spans="1:127" customFormat="1">
      <c r="A188" s="210">
        <v>34304</v>
      </c>
      <c r="B188" s="211"/>
      <c r="C188" s="8">
        <v>2</v>
      </c>
      <c r="D188" s="10">
        <v>17</v>
      </c>
      <c r="E188" s="10">
        <v>0</v>
      </c>
      <c r="F188" s="10">
        <v>0</v>
      </c>
      <c r="G188" s="10">
        <v>4</v>
      </c>
      <c r="H188" s="10">
        <v>8</v>
      </c>
      <c r="I188" s="10">
        <v>0</v>
      </c>
      <c r="J188" s="10">
        <v>4</v>
      </c>
      <c r="K188" s="59">
        <v>0</v>
      </c>
      <c r="L188" s="59">
        <v>0</v>
      </c>
      <c r="M188" s="59"/>
      <c r="N188" s="59"/>
      <c r="O188" s="10">
        <v>47</v>
      </c>
      <c r="P188" s="59">
        <v>0</v>
      </c>
      <c r="Q188" s="59">
        <v>0</v>
      </c>
      <c r="R188" s="10">
        <v>0</v>
      </c>
      <c r="S188" s="35">
        <f t="shared" si="86"/>
        <v>82</v>
      </c>
      <c r="T188" s="10">
        <v>7</v>
      </c>
      <c r="U188" s="10"/>
      <c r="V188" s="10"/>
      <c r="W188" s="10">
        <v>2</v>
      </c>
      <c r="X188" s="5"/>
      <c r="Y188" s="10"/>
      <c r="Z188" s="8"/>
      <c r="AA188" s="10">
        <v>2581244</v>
      </c>
      <c r="AB188" s="10"/>
      <c r="AC188" s="8"/>
      <c r="AD188" s="10"/>
      <c r="AE188" s="35"/>
      <c r="AF188" s="10"/>
      <c r="AG188" s="8">
        <v>135</v>
      </c>
      <c r="AH188" s="59">
        <v>1</v>
      </c>
      <c r="AI188" s="10">
        <v>166</v>
      </c>
      <c r="AJ188" s="5">
        <v>16</v>
      </c>
      <c r="AK188" s="10"/>
      <c r="AL188" s="8"/>
      <c r="AM188" s="10"/>
      <c r="AN188" s="35"/>
      <c r="AO188" s="10"/>
      <c r="AP188" s="10"/>
      <c r="AQ188" s="35"/>
      <c r="AR188" s="59"/>
      <c r="AS188" s="59"/>
      <c r="AT188" s="59"/>
      <c r="AU188" s="59"/>
      <c r="AV188" s="62"/>
      <c r="AW188" s="10"/>
      <c r="AX188" s="326"/>
      <c r="AY188" s="5"/>
      <c r="AZ188" s="10"/>
      <c r="BA188" s="8">
        <v>1550</v>
      </c>
      <c r="BB188" s="10"/>
      <c r="BC188" s="10"/>
      <c r="BD188" s="10"/>
      <c r="BE188" s="10">
        <v>58</v>
      </c>
      <c r="BF188" s="10">
        <v>16</v>
      </c>
      <c r="BG188" s="10">
        <v>9</v>
      </c>
      <c r="BH188" s="30"/>
      <c r="BI188" s="10"/>
      <c r="BJ188" s="338"/>
      <c r="BK188" s="338"/>
      <c r="BL188" s="303"/>
      <c r="BM188" s="5"/>
      <c r="BN188" s="10"/>
      <c r="BO188" s="8"/>
      <c r="BP188" s="5"/>
      <c r="BQ188" s="10"/>
      <c r="BR188" s="29">
        <v>1994</v>
      </c>
      <c r="BS188" s="64">
        <v>1993</v>
      </c>
      <c r="BT188" s="14">
        <v>23</v>
      </c>
      <c r="BU188" s="10"/>
      <c r="BV188" s="8">
        <v>3</v>
      </c>
      <c r="BW188" s="10">
        <v>0</v>
      </c>
      <c r="BX188" s="10"/>
      <c r="BY188" s="10"/>
      <c r="BZ188" s="10"/>
      <c r="CA188" s="10"/>
      <c r="CB188" s="10"/>
      <c r="CC188" s="221"/>
      <c r="CD188" s="10">
        <v>4</v>
      </c>
      <c r="CE188" s="317"/>
      <c r="CF188" s="10">
        <v>0</v>
      </c>
      <c r="CG188" s="10">
        <v>0</v>
      </c>
      <c r="CH188" s="10"/>
      <c r="CI188" s="10">
        <v>0</v>
      </c>
      <c r="CJ188" s="10">
        <v>26</v>
      </c>
      <c r="CK188" s="10"/>
      <c r="CL188" s="10"/>
      <c r="CM188" s="10">
        <v>0</v>
      </c>
      <c r="CN188" s="10"/>
      <c r="CO188" s="10">
        <v>33</v>
      </c>
      <c r="CP188" s="317"/>
      <c r="CQ188" s="10"/>
      <c r="CR188" s="10"/>
      <c r="CS188" s="10">
        <v>0</v>
      </c>
      <c r="CT188" s="10">
        <v>2</v>
      </c>
      <c r="CU188" s="10">
        <v>10</v>
      </c>
      <c r="CV188" s="10">
        <v>0</v>
      </c>
      <c r="CW188" s="10"/>
      <c r="CX188" s="10"/>
      <c r="CY188" s="59">
        <v>0</v>
      </c>
      <c r="CZ188" s="59"/>
      <c r="DA188" s="59"/>
      <c r="DB188" s="10">
        <v>2</v>
      </c>
      <c r="DC188" s="10"/>
      <c r="DD188" s="10"/>
      <c r="DE188" s="10"/>
      <c r="DF188" s="10"/>
      <c r="DG188" s="10">
        <v>0</v>
      </c>
      <c r="DH188" s="10">
        <v>0</v>
      </c>
      <c r="DI188" s="10">
        <v>0</v>
      </c>
      <c r="DJ188" s="59">
        <v>0</v>
      </c>
      <c r="DK188" s="59"/>
      <c r="DL188" s="59"/>
      <c r="DM188" s="10">
        <v>0</v>
      </c>
      <c r="DN188" s="10"/>
      <c r="DO188" s="10">
        <v>0</v>
      </c>
      <c r="DP188" s="10"/>
      <c r="DQ188" s="10"/>
      <c r="DR188" s="10"/>
      <c r="DS188" s="59">
        <v>0</v>
      </c>
      <c r="DT188" s="10">
        <v>2</v>
      </c>
      <c r="DU188" s="10">
        <v>0</v>
      </c>
      <c r="DV188" s="38">
        <f t="shared" si="87"/>
        <v>82</v>
      </c>
      <c r="DW188" s="14" t="str">
        <f t="shared" si="88"/>
        <v/>
      </c>
    </row>
    <row r="189" spans="1:127" customFormat="1">
      <c r="A189" s="210">
        <v>34318</v>
      </c>
      <c r="B189" s="211"/>
      <c r="C189" s="8">
        <v>9</v>
      </c>
      <c r="D189" s="10">
        <v>9</v>
      </c>
      <c r="E189" s="10">
        <v>0</v>
      </c>
      <c r="F189" s="10">
        <v>20</v>
      </c>
      <c r="G189" s="10">
        <v>3</v>
      </c>
      <c r="H189" s="10">
        <v>0</v>
      </c>
      <c r="I189" s="10">
        <v>0</v>
      </c>
      <c r="J189" s="10">
        <v>11</v>
      </c>
      <c r="K189" s="59">
        <v>0</v>
      </c>
      <c r="L189" s="59">
        <v>0</v>
      </c>
      <c r="M189" s="59"/>
      <c r="N189" s="59"/>
      <c r="O189" s="10">
        <v>105</v>
      </c>
      <c r="P189" s="59">
        <v>0</v>
      </c>
      <c r="Q189" s="59">
        <v>0</v>
      </c>
      <c r="R189" s="10">
        <v>0</v>
      </c>
      <c r="S189" s="35">
        <f t="shared" si="86"/>
        <v>157</v>
      </c>
      <c r="T189" s="10">
        <v>4</v>
      </c>
      <c r="U189" s="10"/>
      <c r="V189" s="10"/>
      <c r="W189" s="10">
        <v>19</v>
      </c>
      <c r="X189" s="5"/>
      <c r="Y189" s="10"/>
      <c r="Z189" s="8"/>
      <c r="AA189" s="10">
        <v>5785746</v>
      </c>
      <c r="AB189" s="10"/>
      <c r="AC189" s="8"/>
      <c r="AD189" s="10"/>
      <c r="AE189" s="35"/>
      <c r="AF189" s="10"/>
      <c r="AG189" s="8">
        <v>129</v>
      </c>
      <c r="AH189" s="59">
        <v>1</v>
      </c>
      <c r="AI189" s="10">
        <v>168</v>
      </c>
      <c r="AJ189" s="5">
        <v>14</v>
      </c>
      <c r="AK189" s="10"/>
      <c r="AL189" s="8"/>
      <c r="AM189" s="10"/>
      <c r="AN189" s="35"/>
      <c r="AO189" s="10"/>
      <c r="AP189" s="10"/>
      <c r="AQ189" s="35"/>
      <c r="AR189" s="59"/>
      <c r="AS189" s="59"/>
      <c r="AT189" s="59"/>
      <c r="AU189" s="59"/>
      <c r="AV189" s="62"/>
      <c r="AW189" s="10"/>
      <c r="AX189" s="326"/>
      <c r="AY189" s="5"/>
      <c r="AZ189" s="10"/>
      <c r="BA189" s="8"/>
      <c r="BB189" s="10"/>
      <c r="BC189" s="10"/>
      <c r="BD189" s="10"/>
      <c r="BE189" s="10"/>
      <c r="BF189" s="10"/>
      <c r="BG189" s="10"/>
      <c r="BH189" s="30"/>
      <c r="BI189" s="10"/>
      <c r="BJ189" s="338"/>
      <c r="BK189" s="338"/>
      <c r="BL189" s="303"/>
      <c r="BM189" s="5"/>
      <c r="BN189" s="10"/>
      <c r="BO189" s="8"/>
      <c r="BP189" s="5"/>
      <c r="BQ189" s="10"/>
      <c r="BR189" s="29">
        <v>1994</v>
      </c>
      <c r="BS189" s="64">
        <v>1993</v>
      </c>
      <c r="BT189" s="14">
        <v>24</v>
      </c>
      <c r="BU189" s="10"/>
      <c r="BV189" s="8">
        <v>5</v>
      </c>
      <c r="BW189" s="10">
        <v>0</v>
      </c>
      <c r="BX189" s="10"/>
      <c r="BY189" s="10"/>
      <c r="BZ189" s="10"/>
      <c r="CA189" s="10"/>
      <c r="CB189" s="10"/>
      <c r="CC189" s="221"/>
      <c r="CD189" s="10">
        <v>18</v>
      </c>
      <c r="CE189" s="317"/>
      <c r="CF189" s="10">
        <v>1</v>
      </c>
      <c r="CG189" s="10">
        <v>0</v>
      </c>
      <c r="CH189" s="10"/>
      <c r="CI189" s="10">
        <v>0</v>
      </c>
      <c r="CJ189" s="10">
        <v>11</v>
      </c>
      <c r="CK189" s="10"/>
      <c r="CL189" s="10"/>
      <c r="CM189" s="10">
        <v>0</v>
      </c>
      <c r="CN189" s="10"/>
      <c r="CO189" s="10">
        <v>49</v>
      </c>
      <c r="CP189" s="317"/>
      <c r="CQ189" s="10"/>
      <c r="CR189" s="10"/>
      <c r="CS189" s="10">
        <v>0</v>
      </c>
      <c r="CT189" s="10">
        <v>6</v>
      </c>
      <c r="CU189" s="10">
        <v>52</v>
      </c>
      <c r="CV189" s="10">
        <v>1</v>
      </c>
      <c r="CW189" s="10"/>
      <c r="CX189" s="10"/>
      <c r="CY189" s="59">
        <v>0</v>
      </c>
      <c r="CZ189" s="59"/>
      <c r="DA189" s="59"/>
      <c r="DB189" s="10">
        <v>7</v>
      </c>
      <c r="DC189" s="10"/>
      <c r="DD189" s="10"/>
      <c r="DE189" s="10"/>
      <c r="DF189" s="10"/>
      <c r="DG189" s="10">
        <v>5</v>
      </c>
      <c r="DH189" s="10">
        <v>0</v>
      </c>
      <c r="DI189" s="10">
        <v>0</v>
      </c>
      <c r="DJ189" s="59">
        <v>0</v>
      </c>
      <c r="DK189" s="59"/>
      <c r="DL189" s="59"/>
      <c r="DM189" s="10">
        <v>2</v>
      </c>
      <c r="DN189" s="10"/>
      <c r="DO189" s="10">
        <v>0</v>
      </c>
      <c r="DP189" s="10"/>
      <c r="DQ189" s="10"/>
      <c r="DR189" s="10"/>
      <c r="DS189" s="59">
        <v>0</v>
      </c>
      <c r="DT189" s="10">
        <v>0</v>
      </c>
      <c r="DU189" s="10">
        <v>0</v>
      </c>
      <c r="DV189" s="38">
        <f t="shared" si="87"/>
        <v>157</v>
      </c>
      <c r="DW189" s="14" t="str">
        <f t="shared" si="88"/>
        <v/>
      </c>
    </row>
    <row r="190" spans="1:127" customFormat="1">
      <c r="A190" s="210">
        <v>34335</v>
      </c>
      <c r="B190" s="211"/>
      <c r="C190" s="8">
        <v>1</v>
      </c>
      <c r="D190" s="10">
        <v>20</v>
      </c>
      <c r="E190" s="10">
        <v>0</v>
      </c>
      <c r="F190" s="10">
        <v>0</v>
      </c>
      <c r="G190" s="10">
        <v>7</v>
      </c>
      <c r="H190" s="10">
        <v>4</v>
      </c>
      <c r="I190" s="10">
        <v>0</v>
      </c>
      <c r="J190" s="10">
        <v>6</v>
      </c>
      <c r="K190" s="59">
        <v>0</v>
      </c>
      <c r="L190" s="59">
        <v>0</v>
      </c>
      <c r="M190" s="59"/>
      <c r="N190" s="59"/>
      <c r="O190" s="10">
        <v>17</v>
      </c>
      <c r="P190" s="10">
        <v>7</v>
      </c>
      <c r="Q190" s="10">
        <v>0</v>
      </c>
      <c r="R190" s="10">
        <v>0</v>
      </c>
      <c r="S190" s="35">
        <f t="shared" si="86"/>
        <v>62</v>
      </c>
      <c r="T190" s="10">
        <v>1</v>
      </c>
      <c r="U190" s="10"/>
      <c r="V190" s="10"/>
      <c r="W190" s="10">
        <v>5</v>
      </c>
      <c r="X190" s="5">
        <v>0</v>
      </c>
      <c r="Y190" s="10"/>
      <c r="Z190" s="8"/>
      <c r="AA190" s="10">
        <v>2341451</v>
      </c>
      <c r="AB190" s="10"/>
      <c r="AC190" s="8"/>
      <c r="AD190" s="10"/>
      <c r="AE190" s="35"/>
      <c r="AF190" s="10"/>
      <c r="AG190" s="8">
        <v>84</v>
      </c>
      <c r="AH190" s="10">
        <v>30</v>
      </c>
      <c r="AI190" s="10">
        <v>142</v>
      </c>
      <c r="AJ190" s="5">
        <v>28</v>
      </c>
      <c r="AK190" s="10"/>
      <c r="AL190" s="8"/>
      <c r="AM190" s="10"/>
      <c r="AN190" s="35"/>
      <c r="AO190" s="10"/>
      <c r="AP190" s="10"/>
      <c r="AQ190" s="35"/>
      <c r="AR190" s="59"/>
      <c r="AS190" s="59"/>
      <c r="AT190" s="59"/>
      <c r="AU190" s="59"/>
      <c r="AV190" s="62"/>
      <c r="AW190" s="10"/>
      <c r="AX190" s="326"/>
      <c r="AY190" s="5"/>
      <c r="AZ190" s="10"/>
      <c r="BA190" s="8">
        <v>1547</v>
      </c>
      <c r="BB190" s="10"/>
      <c r="BC190" s="10"/>
      <c r="BD190" s="10"/>
      <c r="BE190" s="10">
        <v>164</v>
      </c>
      <c r="BF190" s="10">
        <v>3</v>
      </c>
      <c r="BG190" s="10">
        <v>6</v>
      </c>
      <c r="BH190" s="30"/>
      <c r="BI190" s="10"/>
      <c r="BJ190" s="338"/>
      <c r="BK190" s="338"/>
      <c r="BL190" s="303"/>
      <c r="BM190" s="5">
        <f>928+1065+646+953</f>
        <v>3592</v>
      </c>
      <c r="BN190" s="10"/>
      <c r="BO190" s="8"/>
      <c r="BP190" s="5"/>
      <c r="BQ190" s="10"/>
      <c r="BR190" s="29">
        <v>1994</v>
      </c>
      <c r="BS190" s="64">
        <v>1994</v>
      </c>
      <c r="BT190" s="14">
        <v>1</v>
      </c>
      <c r="BU190" s="10"/>
      <c r="BV190" s="8">
        <v>2</v>
      </c>
      <c r="BW190" s="10">
        <v>1</v>
      </c>
      <c r="BX190" s="10"/>
      <c r="BY190" s="10"/>
      <c r="BZ190" s="10"/>
      <c r="CA190" s="10"/>
      <c r="CB190" s="10"/>
      <c r="CC190" s="221"/>
      <c r="CD190" s="10">
        <v>5</v>
      </c>
      <c r="CE190" s="317"/>
      <c r="CF190" s="10">
        <v>0</v>
      </c>
      <c r="CG190" s="10">
        <v>0</v>
      </c>
      <c r="CH190" s="10"/>
      <c r="CI190" s="10">
        <v>0</v>
      </c>
      <c r="CJ190" s="10">
        <v>11</v>
      </c>
      <c r="CK190" s="10"/>
      <c r="CL190" s="10"/>
      <c r="CM190" s="10">
        <v>0</v>
      </c>
      <c r="CN190" s="10"/>
      <c r="CO190" s="10">
        <v>1</v>
      </c>
      <c r="CP190" s="317"/>
      <c r="CQ190" s="10"/>
      <c r="CR190" s="10"/>
      <c r="CS190" s="10">
        <v>1</v>
      </c>
      <c r="CT190" s="10">
        <v>19</v>
      </c>
      <c r="CU190" s="10">
        <v>8</v>
      </c>
      <c r="CV190" s="10">
        <v>3</v>
      </c>
      <c r="CW190" s="10"/>
      <c r="CX190" s="10"/>
      <c r="CY190" s="59">
        <v>0</v>
      </c>
      <c r="CZ190" s="59"/>
      <c r="DA190" s="59"/>
      <c r="DB190" s="10">
        <v>4</v>
      </c>
      <c r="DC190" s="10"/>
      <c r="DD190" s="10"/>
      <c r="DE190" s="10"/>
      <c r="DF190" s="10"/>
      <c r="DG190" s="10">
        <v>1</v>
      </c>
      <c r="DH190" s="10">
        <v>0</v>
      </c>
      <c r="DI190" s="10">
        <v>0</v>
      </c>
      <c r="DJ190" s="59">
        <v>0</v>
      </c>
      <c r="DK190" s="59"/>
      <c r="DL190" s="59"/>
      <c r="DM190" s="10">
        <v>1</v>
      </c>
      <c r="DN190" s="10"/>
      <c r="DO190" s="10">
        <v>2</v>
      </c>
      <c r="DP190" s="10"/>
      <c r="DQ190" s="10"/>
      <c r="DR190" s="10"/>
      <c r="DS190" s="59">
        <v>0</v>
      </c>
      <c r="DT190" s="10">
        <v>3</v>
      </c>
      <c r="DU190" s="10">
        <v>0</v>
      </c>
      <c r="DV190" s="38">
        <f t="shared" si="87"/>
        <v>62</v>
      </c>
      <c r="DW190" s="14" t="str">
        <f t="shared" si="88"/>
        <v/>
      </c>
    </row>
    <row r="191" spans="1:127" customFormat="1">
      <c r="A191" s="210">
        <v>34349</v>
      </c>
      <c r="B191" s="211"/>
      <c r="C191" s="8">
        <v>1</v>
      </c>
      <c r="D191" s="10">
        <v>12</v>
      </c>
      <c r="E191" s="10">
        <v>2</v>
      </c>
      <c r="F191" s="10">
        <v>0</v>
      </c>
      <c r="G191" s="10">
        <v>2</v>
      </c>
      <c r="H191" s="10">
        <v>1</v>
      </c>
      <c r="I191" s="10">
        <v>0</v>
      </c>
      <c r="J191" s="10">
        <v>1</v>
      </c>
      <c r="K191" s="59">
        <v>0</v>
      </c>
      <c r="L191" s="59">
        <v>0</v>
      </c>
      <c r="M191" s="59"/>
      <c r="N191" s="59"/>
      <c r="O191" s="10">
        <v>23</v>
      </c>
      <c r="P191" s="10">
        <v>2</v>
      </c>
      <c r="Q191" s="10">
        <v>0</v>
      </c>
      <c r="R191" s="10">
        <v>0</v>
      </c>
      <c r="S191" s="35">
        <f t="shared" si="86"/>
        <v>44</v>
      </c>
      <c r="T191" s="10">
        <v>18</v>
      </c>
      <c r="U191" s="10"/>
      <c r="V191" s="10"/>
      <c r="W191" s="10">
        <v>2</v>
      </c>
      <c r="X191" s="5">
        <v>0</v>
      </c>
      <c r="Y191" s="10"/>
      <c r="Z191" s="8"/>
      <c r="AA191" s="10">
        <v>897458</v>
      </c>
      <c r="AB191" s="10"/>
      <c r="AC191" s="8"/>
      <c r="AD191" s="10"/>
      <c r="AE191" s="35"/>
      <c r="AF191" s="10"/>
      <c r="AG191" s="8">
        <v>46</v>
      </c>
      <c r="AH191" s="10">
        <v>84</v>
      </c>
      <c r="AI191" s="10">
        <v>144</v>
      </c>
      <c r="AJ191" s="5">
        <v>16</v>
      </c>
      <c r="AK191" s="10"/>
      <c r="AL191" s="8"/>
      <c r="AM191" s="10"/>
      <c r="AN191" s="35"/>
      <c r="AO191" s="10"/>
      <c r="AP191" s="10"/>
      <c r="AQ191" s="35"/>
      <c r="AR191" s="59"/>
      <c r="AS191" s="59"/>
      <c r="AT191" s="59"/>
      <c r="AU191" s="59"/>
      <c r="AV191" s="62"/>
      <c r="AW191" s="10"/>
      <c r="AX191" s="326"/>
      <c r="AY191" s="5"/>
      <c r="AZ191" s="10"/>
      <c r="BA191" s="8"/>
      <c r="BB191" s="10"/>
      <c r="BC191" s="10"/>
      <c r="BD191" s="10"/>
      <c r="BE191" s="10"/>
      <c r="BF191" s="10"/>
      <c r="BG191" s="10"/>
      <c r="BH191" s="30"/>
      <c r="BI191" s="10"/>
      <c r="BJ191" s="338"/>
      <c r="BK191" s="338"/>
      <c r="BL191" s="303"/>
      <c r="BM191" s="5"/>
      <c r="BN191" s="10"/>
      <c r="BO191" s="8"/>
      <c r="BP191" s="5"/>
      <c r="BQ191" s="10"/>
      <c r="BR191" s="29">
        <v>1994</v>
      </c>
      <c r="BS191" s="64">
        <v>1994</v>
      </c>
      <c r="BT191" s="14">
        <v>2</v>
      </c>
      <c r="BU191" s="10"/>
      <c r="BV191" s="8">
        <v>0</v>
      </c>
      <c r="BW191" s="10">
        <v>0</v>
      </c>
      <c r="BX191" s="10"/>
      <c r="BY191" s="10"/>
      <c r="BZ191" s="10"/>
      <c r="CA191" s="10"/>
      <c r="CB191" s="10"/>
      <c r="CC191" s="221"/>
      <c r="CD191" s="10">
        <v>3</v>
      </c>
      <c r="CE191" s="317"/>
      <c r="CF191" s="10">
        <v>0</v>
      </c>
      <c r="CG191" s="10">
        <v>0</v>
      </c>
      <c r="CH191" s="10"/>
      <c r="CI191" s="10">
        <v>18</v>
      </c>
      <c r="CJ191" s="10">
        <v>2</v>
      </c>
      <c r="CK191" s="10"/>
      <c r="CL191" s="10"/>
      <c r="CM191" s="10">
        <v>0</v>
      </c>
      <c r="CN191" s="10"/>
      <c r="CO191" s="10">
        <v>0</v>
      </c>
      <c r="CP191" s="317"/>
      <c r="CQ191" s="10"/>
      <c r="CR191" s="10"/>
      <c r="CS191" s="10">
        <v>0</v>
      </c>
      <c r="CT191" s="10">
        <v>3</v>
      </c>
      <c r="CU191" s="10">
        <v>0</v>
      </c>
      <c r="CV191" s="10">
        <v>2</v>
      </c>
      <c r="CW191" s="10"/>
      <c r="CX191" s="10"/>
      <c r="CY191" s="59">
        <v>0</v>
      </c>
      <c r="CZ191" s="59"/>
      <c r="DA191" s="59"/>
      <c r="DB191" s="10">
        <v>7</v>
      </c>
      <c r="DC191" s="10"/>
      <c r="DD191" s="10"/>
      <c r="DE191" s="10"/>
      <c r="DF191" s="10"/>
      <c r="DG191" s="10">
        <v>5</v>
      </c>
      <c r="DH191" s="10">
        <v>0</v>
      </c>
      <c r="DI191" s="10">
        <v>1</v>
      </c>
      <c r="DJ191" s="59">
        <v>0</v>
      </c>
      <c r="DK191" s="59"/>
      <c r="DL191" s="59"/>
      <c r="DM191" s="10">
        <v>0</v>
      </c>
      <c r="DN191" s="10"/>
      <c r="DO191" s="10">
        <v>0</v>
      </c>
      <c r="DP191" s="10"/>
      <c r="DQ191" s="10"/>
      <c r="DR191" s="10"/>
      <c r="DS191" s="59">
        <v>0</v>
      </c>
      <c r="DT191" s="10">
        <v>3</v>
      </c>
      <c r="DU191" s="10">
        <v>0</v>
      </c>
      <c r="DV191" s="38">
        <f t="shared" si="87"/>
        <v>44</v>
      </c>
      <c r="DW191" s="14" t="str">
        <f t="shared" si="88"/>
        <v/>
      </c>
    </row>
    <row r="192" spans="1:127" customFormat="1">
      <c r="A192" s="210">
        <v>34366</v>
      </c>
      <c r="B192" s="211"/>
      <c r="C192" s="8">
        <v>4</v>
      </c>
      <c r="D192" s="10">
        <v>58</v>
      </c>
      <c r="E192" s="10">
        <v>1</v>
      </c>
      <c r="F192" s="10">
        <v>0</v>
      </c>
      <c r="G192" s="10">
        <v>4</v>
      </c>
      <c r="H192" s="10">
        <v>1</v>
      </c>
      <c r="I192" s="10">
        <v>0</v>
      </c>
      <c r="J192" s="10">
        <v>0</v>
      </c>
      <c r="K192" s="59">
        <v>0</v>
      </c>
      <c r="L192" s="59">
        <v>0</v>
      </c>
      <c r="M192" s="59"/>
      <c r="N192" s="59"/>
      <c r="O192" s="10">
        <v>41</v>
      </c>
      <c r="P192" s="10">
        <v>0</v>
      </c>
      <c r="Q192" s="10">
        <v>0</v>
      </c>
      <c r="R192" s="10">
        <v>0</v>
      </c>
      <c r="S192" s="35">
        <f t="shared" si="86"/>
        <v>109</v>
      </c>
      <c r="T192" s="10">
        <v>50</v>
      </c>
      <c r="U192" s="10"/>
      <c r="V192" s="10"/>
      <c r="W192" s="10">
        <v>8</v>
      </c>
      <c r="X192" s="5">
        <v>0</v>
      </c>
      <c r="Y192" s="10"/>
      <c r="Z192" s="8"/>
      <c r="AA192" s="10">
        <v>2147801</v>
      </c>
      <c r="AB192" s="10"/>
      <c r="AC192" s="8"/>
      <c r="AD192" s="10"/>
      <c r="AE192" s="35"/>
      <c r="AF192" s="10"/>
      <c r="AG192" s="8">
        <v>148</v>
      </c>
      <c r="AH192" s="10">
        <v>5</v>
      </c>
      <c r="AI192" s="10">
        <v>170</v>
      </c>
      <c r="AJ192" s="5">
        <v>28</v>
      </c>
      <c r="AK192" s="10"/>
      <c r="AL192" s="8"/>
      <c r="AM192" s="10"/>
      <c r="AN192" s="35"/>
      <c r="AO192" s="10"/>
      <c r="AP192" s="10"/>
      <c r="AQ192" s="35"/>
      <c r="AR192" s="59"/>
      <c r="AS192" s="59"/>
      <c r="AT192" s="59"/>
      <c r="AU192" s="59"/>
      <c r="AV192" s="62"/>
      <c r="AW192" s="10"/>
      <c r="AX192" s="326"/>
      <c r="AY192" s="5"/>
      <c r="AZ192" s="10"/>
      <c r="BA192" s="8">
        <v>1558</v>
      </c>
      <c r="BB192" s="10"/>
      <c r="BC192" s="10"/>
      <c r="BD192" s="10"/>
      <c r="BE192" s="10">
        <v>160</v>
      </c>
      <c r="BF192" s="10">
        <v>10</v>
      </c>
      <c r="BG192" s="10">
        <v>0</v>
      </c>
      <c r="BH192" s="30"/>
      <c r="BI192" s="10"/>
      <c r="BJ192" s="338"/>
      <c r="BK192" s="338"/>
      <c r="BL192" s="303"/>
      <c r="BM192" s="5"/>
      <c r="BN192" s="10"/>
      <c r="BO192" s="8"/>
      <c r="BP192" s="5"/>
      <c r="BQ192" s="10"/>
      <c r="BR192" s="29">
        <v>1994</v>
      </c>
      <c r="BS192" s="64">
        <v>1994</v>
      </c>
      <c r="BT192" s="14">
        <v>3</v>
      </c>
      <c r="BU192" s="10"/>
      <c r="BV192" s="8">
        <v>1</v>
      </c>
      <c r="BW192" s="10">
        <v>6</v>
      </c>
      <c r="BX192" s="10"/>
      <c r="BY192" s="10"/>
      <c r="BZ192" s="10"/>
      <c r="CA192" s="10"/>
      <c r="CB192" s="10"/>
      <c r="CC192" s="221"/>
      <c r="CD192" s="10">
        <v>18</v>
      </c>
      <c r="CE192" s="317"/>
      <c r="CF192" s="10">
        <v>1</v>
      </c>
      <c r="CG192" s="10">
        <v>11</v>
      </c>
      <c r="CH192" s="10"/>
      <c r="CI192" s="10">
        <v>0</v>
      </c>
      <c r="CJ192" s="10">
        <v>7</v>
      </c>
      <c r="CK192" s="10"/>
      <c r="CL192" s="10"/>
      <c r="CM192" s="10">
        <v>0</v>
      </c>
      <c r="CN192" s="10"/>
      <c r="CO192" s="10">
        <v>5</v>
      </c>
      <c r="CP192" s="317"/>
      <c r="CQ192" s="10"/>
      <c r="CR192" s="10"/>
      <c r="CS192" s="10">
        <v>17</v>
      </c>
      <c r="CT192" s="10">
        <v>2</v>
      </c>
      <c r="CU192" s="10">
        <v>11</v>
      </c>
      <c r="CV192" s="10">
        <v>7</v>
      </c>
      <c r="CW192" s="10"/>
      <c r="CX192" s="10"/>
      <c r="CY192" s="59">
        <v>0</v>
      </c>
      <c r="CZ192" s="59"/>
      <c r="DA192" s="59"/>
      <c r="DB192" s="10">
        <v>15</v>
      </c>
      <c r="DC192" s="10"/>
      <c r="DD192" s="10"/>
      <c r="DE192" s="10"/>
      <c r="DF192" s="10"/>
      <c r="DG192" s="10">
        <v>2</v>
      </c>
      <c r="DH192" s="10">
        <v>0</v>
      </c>
      <c r="DI192" s="10">
        <v>0</v>
      </c>
      <c r="DJ192" s="59">
        <v>0</v>
      </c>
      <c r="DK192" s="59"/>
      <c r="DL192" s="59"/>
      <c r="DM192" s="10">
        <v>4</v>
      </c>
      <c r="DN192" s="10"/>
      <c r="DO192" s="10">
        <v>0</v>
      </c>
      <c r="DP192" s="10"/>
      <c r="DQ192" s="10"/>
      <c r="DR192" s="10"/>
      <c r="DS192" s="59">
        <v>0</v>
      </c>
      <c r="DT192" s="10">
        <v>2</v>
      </c>
      <c r="DU192" s="10">
        <v>0</v>
      </c>
      <c r="DV192" s="38">
        <f t="shared" si="87"/>
        <v>109</v>
      </c>
      <c r="DW192" s="14" t="str">
        <f t="shared" si="88"/>
        <v/>
      </c>
    </row>
    <row r="193" spans="1:127" customFormat="1">
      <c r="A193" s="210">
        <v>34380</v>
      </c>
      <c r="B193" s="211"/>
      <c r="C193" s="8">
        <v>1</v>
      </c>
      <c r="D193" s="10">
        <v>32</v>
      </c>
      <c r="E193" s="10">
        <v>2</v>
      </c>
      <c r="F193" s="10">
        <v>0</v>
      </c>
      <c r="G193" s="10">
        <v>2</v>
      </c>
      <c r="H193" s="10">
        <v>1</v>
      </c>
      <c r="I193" s="10">
        <v>0</v>
      </c>
      <c r="J193" s="10">
        <v>0</v>
      </c>
      <c r="K193" s="59">
        <v>0</v>
      </c>
      <c r="L193" s="59">
        <v>0</v>
      </c>
      <c r="M193" s="59"/>
      <c r="N193" s="59"/>
      <c r="O193" s="10">
        <v>35</v>
      </c>
      <c r="P193" s="10">
        <v>1</v>
      </c>
      <c r="Q193" s="10">
        <v>0</v>
      </c>
      <c r="R193" s="10">
        <v>0</v>
      </c>
      <c r="S193" s="35">
        <f t="shared" si="86"/>
        <v>74</v>
      </c>
      <c r="T193" s="10">
        <v>41</v>
      </c>
      <c r="U193" s="10"/>
      <c r="V193" s="10"/>
      <c r="W193" s="10">
        <v>0</v>
      </c>
      <c r="X193" s="5">
        <v>0</v>
      </c>
      <c r="Y193" s="10"/>
      <c r="Z193" s="8"/>
      <c r="AA193" s="10">
        <v>1625017</v>
      </c>
      <c r="AB193" s="10"/>
      <c r="AC193" s="8"/>
      <c r="AD193" s="10"/>
      <c r="AE193" s="35"/>
      <c r="AF193" s="10"/>
      <c r="AG193" s="8">
        <v>127</v>
      </c>
      <c r="AH193" s="10">
        <v>3</v>
      </c>
      <c r="AI193" s="10">
        <v>146</v>
      </c>
      <c r="AJ193" s="5">
        <v>28</v>
      </c>
      <c r="AK193" s="10"/>
      <c r="AL193" s="8"/>
      <c r="AM193" s="10"/>
      <c r="AN193" s="35"/>
      <c r="AO193" s="10"/>
      <c r="AP193" s="10"/>
      <c r="AQ193" s="35"/>
      <c r="AR193" s="59"/>
      <c r="AS193" s="59"/>
      <c r="AT193" s="59"/>
      <c r="AU193" s="59"/>
      <c r="AV193" s="62"/>
      <c r="AW193" s="10"/>
      <c r="AX193" s="326"/>
      <c r="AY193" s="5"/>
      <c r="AZ193" s="10"/>
      <c r="BA193" s="8"/>
      <c r="BB193" s="10"/>
      <c r="BC193" s="10"/>
      <c r="BD193" s="10"/>
      <c r="BE193" s="10"/>
      <c r="BF193" s="10"/>
      <c r="BG193" s="10"/>
      <c r="BH193" s="30"/>
      <c r="BI193" s="10"/>
      <c r="BJ193" s="338"/>
      <c r="BK193" s="338"/>
      <c r="BL193" s="303"/>
      <c r="BM193" s="5"/>
      <c r="BN193" s="10"/>
      <c r="BO193" s="8"/>
      <c r="BP193" s="5"/>
      <c r="BQ193" s="10"/>
      <c r="BR193" s="29">
        <v>1994</v>
      </c>
      <c r="BS193" s="64">
        <v>1994</v>
      </c>
      <c r="BT193" s="14">
        <v>4</v>
      </c>
      <c r="BU193" s="10"/>
      <c r="BV193" s="8">
        <v>0</v>
      </c>
      <c r="BW193" s="10">
        <v>31</v>
      </c>
      <c r="BX193" s="10"/>
      <c r="BY193" s="10"/>
      <c r="BZ193" s="10"/>
      <c r="CA193" s="10"/>
      <c r="CB193" s="10"/>
      <c r="CC193" s="221"/>
      <c r="CD193" s="10">
        <v>14</v>
      </c>
      <c r="CE193" s="317"/>
      <c r="CF193" s="10">
        <v>1</v>
      </c>
      <c r="CG193" s="10">
        <v>0</v>
      </c>
      <c r="CH193" s="10"/>
      <c r="CI193" s="10">
        <v>0</v>
      </c>
      <c r="CJ193" s="10">
        <v>4</v>
      </c>
      <c r="CK193" s="10"/>
      <c r="CL193" s="10"/>
      <c r="CM193" s="10">
        <v>0</v>
      </c>
      <c r="CN193" s="10"/>
      <c r="CO193" s="10">
        <v>1</v>
      </c>
      <c r="CP193" s="317"/>
      <c r="CQ193" s="10"/>
      <c r="CR193" s="10"/>
      <c r="CS193" s="10">
        <v>0</v>
      </c>
      <c r="CT193" s="10">
        <v>8</v>
      </c>
      <c r="CU193" s="10">
        <v>1</v>
      </c>
      <c r="CV193" s="10">
        <v>1</v>
      </c>
      <c r="CW193" s="10"/>
      <c r="CX193" s="10"/>
      <c r="CY193" s="59">
        <v>0</v>
      </c>
      <c r="CZ193" s="59"/>
      <c r="DA193" s="59"/>
      <c r="DB193" s="10">
        <v>3</v>
      </c>
      <c r="DC193" s="10"/>
      <c r="DD193" s="10"/>
      <c r="DE193" s="10"/>
      <c r="DF193" s="10"/>
      <c r="DG193" s="10">
        <v>0</v>
      </c>
      <c r="DH193" s="10">
        <v>2</v>
      </c>
      <c r="DI193" s="10">
        <v>0</v>
      </c>
      <c r="DJ193" s="59">
        <v>0</v>
      </c>
      <c r="DK193" s="59"/>
      <c r="DL193" s="59"/>
      <c r="DM193" s="10">
        <v>3</v>
      </c>
      <c r="DN193" s="10"/>
      <c r="DO193" s="10">
        <v>4</v>
      </c>
      <c r="DP193" s="10"/>
      <c r="DQ193" s="10"/>
      <c r="DR193" s="10"/>
      <c r="DS193" s="59">
        <v>0</v>
      </c>
      <c r="DT193" s="10">
        <v>1</v>
      </c>
      <c r="DU193" s="10">
        <v>0</v>
      </c>
      <c r="DV193" s="38">
        <f t="shared" si="87"/>
        <v>74</v>
      </c>
      <c r="DW193" s="14" t="str">
        <f t="shared" si="88"/>
        <v/>
      </c>
    </row>
    <row r="194" spans="1:127" customFormat="1">
      <c r="A194" s="210">
        <v>34394</v>
      </c>
      <c r="B194" s="211"/>
      <c r="C194" s="8">
        <v>5</v>
      </c>
      <c r="D194" s="10">
        <v>9</v>
      </c>
      <c r="E194" s="10">
        <v>1</v>
      </c>
      <c r="F194" s="10">
        <v>1</v>
      </c>
      <c r="G194" s="10">
        <v>0</v>
      </c>
      <c r="H194" s="10">
        <v>1</v>
      </c>
      <c r="I194" s="10">
        <v>0</v>
      </c>
      <c r="J194" s="10">
        <v>7</v>
      </c>
      <c r="K194" s="59">
        <v>0</v>
      </c>
      <c r="L194" s="59">
        <v>0</v>
      </c>
      <c r="M194" s="59"/>
      <c r="N194" s="59"/>
      <c r="O194" s="10">
        <v>15</v>
      </c>
      <c r="P194" s="10">
        <v>0</v>
      </c>
      <c r="Q194" s="10">
        <v>0</v>
      </c>
      <c r="R194" s="10">
        <v>1</v>
      </c>
      <c r="S194" s="35">
        <f t="shared" si="86"/>
        <v>40</v>
      </c>
      <c r="T194" s="10">
        <v>10</v>
      </c>
      <c r="U194" s="10"/>
      <c r="V194" s="10"/>
      <c r="W194" s="10">
        <v>0</v>
      </c>
      <c r="X194" s="5">
        <v>1</v>
      </c>
      <c r="Y194" s="10"/>
      <c r="Z194" s="8"/>
      <c r="AA194" s="10">
        <v>815922</v>
      </c>
      <c r="AB194" s="10"/>
      <c r="AC194" s="8"/>
      <c r="AD194" s="10"/>
      <c r="AE194" s="35"/>
      <c r="AF194" s="10"/>
      <c r="AG194" s="8">
        <v>75</v>
      </c>
      <c r="AH194" s="10">
        <v>10</v>
      </c>
      <c r="AI194" s="10">
        <v>126</v>
      </c>
      <c r="AJ194" s="5">
        <v>20</v>
      </c>
      <c r="AK194" s="10"/>
      <c r="AL194" s="8">
        <v>33</v>
      </c>
      <c r="AM194" s="10">
        <v>147</v>
      </c>
      <c r="AN194" s="35">
        <f>SUM(AL194:AM194)</f>
        <v>180</v>
      </c>
      <c r="AO194" s="10">
        <v>178</v>
      </c>
      <c r="AP194" s="10">
        <v>32</v>
      </c>
      <c r="AQ194" s="35">
        <f>SUM(AO194:AP194)</f>
        <v>210</v>
      </c>
      <c r="AR194" s="59"/>
      <c r="AS194" s="59"/>
      <c r="AT194" s="59"/>
      <c r="AU194" s="59"/>
      <c r="AV194" s="62"/>
      <c r="AW194" s="10"/>
      <c r="AX194" s="326"/>
      <c r="AY194" s="5"/>
      <c r="AZ194" s="10"/>
      <c r="BA194" s="8">
        <v>1562</v>
      </c>
      <c r="BB194" s="10"/>
      <c r="BC194" s="10"/>
      <c r="BD194" s="10"/>
      <c r="BE194" s="10">
        <v>99</v>
      </c>
      <c r="BF194" s="10">
        <v>6</v>
      </c>
      <c r="BG194" s="10">
        <v>2</v>
      </c>
      <c r="BH194" s="30"/>
      <c r="BI194" s="10"/>
      <c r="BJ194" s="338"/>
      <c r="BK194" s="338"/>
      <c r="BL194" s="303"/>
      <c r="BM194" s="5"/>
      <c r="BN194" s="10"/>
      <c r="BO194" s="8"/>
      <c r="BP194" s="5"/>
      <c r="BQ194" s="10"/>
      <c r="BR194" s="29">
        <v>1994</v>
      </c>
      <c r="BS194" s="64">
        <v>1994</v>
      </c>
      <c r="BT194" s="14">
        <v>5</v>
      </c>
      <c r="BU194" s="10"/>
      <c r="BV194" s="8">
        <v>0</v>
      </c>
      <c r="BW194" s="10">
        <v>4</v>
      </c>
      <c r="BX194" s="10"/>
      <c r="BY194" s="10"/>
      <c r="BZ194" s="10"/>
      <c r="CA194" s="10"/>
      <c r="CB194" s="10"/>
      <c r="CC194" s="221"/>
      <c r="CD194" s="10">
        <v>4</v>
      </c>
      <c r="CE194" s="317"/>
      <c r="CF194" s="10">
        <v>0</v>
      </c>
      <c r="CG194" s="10">
        <v>0</v>
      </c>
      <c r="CH194" s="10"/>
      <c r="CI194" s="10">
        <v>7</v>
      </c>
      <c r="CJ194" s="10">
        <v>3</v>
      </c>
      <c r="CK194" s="10"/>
      <c r="CL194" s="10"/>
      <c r="CM194" s="10">
        <v>0</v>
      </c>
      <c r="CN194" s="10"/>
      <c r="CO194" s="10">
        <v>3</v>
      </c>
      <c r="CP194" s="317"/>
      <c r="CQ194" s="10"/>
      <c r="CR194" s="10"/>
      <c r="CS194" s="10">
        <v>0</v>
      </c>
      <c r="CT194" s="10">
        <v>6</v>
      </c>
      <c r="CU194" s="10">
        <v>2</v>
      </c>
      <c r="CV194" s="10">
        <v>1</v>
      </c>
      <c r="CW194" s="10"/>
      <c r="CX194" s="10"/>
      <c r="CY194" s="59">
        <v>0</v>
      </c>
      <c r="CZ194" s="59"/>
      <c r="DA194" s="59"/>
      <c r="DB194" s="10">
        <v>0</v>
      </c>
      <c r="DC194" s="10"/>
      <c r="DD194" s="10"/>
      <c r="DE194" s="10"/>
      <c r="DF194" s="10"/>
      <c r="DG194" s="10">
        <v>2</v>
      </c>
      <c r="DH194" s="10">
        <v>1</v>
      </c>
      <c r="DI194" s="10">
        <v>1</v>
      </c>
      <c r="DJ194" s="59">
        <v>0</v>
      </c>
      <c r="DK194" s="59"/>
      <c r="DL194" s="59"/>
      <c r="DM194" s="10">
        <v>5</v>
      </c>
      <c r="DN194" s="10"/>
      <c r="DO194" s="10">
        <v>0</v>
      </c>
      <c r="DP194" s="10"/>
      <c r="DQ194" s="10"/>
      <c r="DR194" s="10"/>
      <c r="DS194" s="59">
        <v>0</v>
      </c>
      <c r="DT194" s="10">
        <v>0</v>
      </c>
      <c r="DU194" s="10">
        <v>1</v>
      </c>
      <c r="DV194" s="38">
        <f t="shared" si="87"/>
        <v>40</v>
      </c>
      <c r="DW194" s="14" t="str">
        <f t="shared" si="88"/>
        <v/>
      </c>
    </row>
    <row r="195" spans="1:127" customFormat="1">
      <c r="A195" s="210">
        <v>34408</v>
      </c>
      <c r="B195" s="211"/>
      <c r="C195" s="8">
        <v>1</v>
      </c>
      <c r="D195" s="10">
        <v>22</v>
      </c>
      <c r="E195" s="10">
        <v>0</v>
      </c>
      <c r="F195" s="10">
        <v>0</v>
      </c>
      <c r="G195" s="10">
        <v>1</v>
      </c>
      <c r="H195" s="10">
        <v>0</v>
      </c>
      <c r="I195" s="10">
        <v>0</v>
      </c>
      <c r="J195" s="10">
        <v>1</v>
      </c>
      <c r="K195" s="59">
        <v>0</v>
      </c>
      <c r="L195" s="59">
        <v>0</v>
      </c>
      <c r="M195" s="59"/>
      <c r="N195" s="59"/>
      <c r="O195" s="10">
        <v>11</v>
      </c>
      <c r="P195" s="10">
        <v>0</v>
      </c>
      <c r="Q195" s="10">
        <v>0</v>
      </c>
      <c r="R195" s="10">
        <v>0</v>
      </c>
      <c r="S195" s="35">
        <f t="shared" si="86"/>
        <v>36</v>
      </c>
      <c r="T195" s="10">
        <v>13</v>
      </c>
      <c r="U195" s="10"/>
      <c r="V195" s="10"/>
      <c r="W195" s="10">
        <v>0</v>
      </c>
      <c r="X195" s="5">
        <v>0</v>
      </c>
      <c r="Y195" s="10"/>
      <c r="Z195" s="8"/>
      <c r="AA195" s="10">
        <v>807780</v>
      </c>
      <c r="AB195" s="10"/>
      <c r="AC195" s="8"/>
      <c r="AD195" s="10"/>
      <c r="AE195" s="35"/>
      <c r="AF195" s="10"/>
      <c r="AG195" s="8">
        <v>71</v>
      </c>
      <c r="AH195" s="10">
        <v>16</v>
      </c>
      <c r="AI195" s="10">
        <v>102</v>
      </c>
      <c r="AJ195" s="5">
        <v>20</v>
      </c>
      <c r="AK195" s="10"/>
      <c r="AL195" s="8"/>
      <c r="AM195" s="10"/>
      <c r="AN195" s="35"/>
      <c r="AO195" s="10"/>
      <c r="AP195" s="10"/>
      <c r="AQ195" s="35"/>
      <c r="AR195" s="59"/>
      <c r="AS195" s="59"/>
      <c r="AT195" s="59"/>
      <c r="AU195" s="59"/>
      <c r="AV195" s="62"/>
      <c r="AW195" s="10"/>
      <c r="AX195" s="326"/>
      <c r="AY195" s="5"/>
      <c r="AZ195" s="10"/>
      <c r="BA195" s="8"/>
      <c r="BB195" s="10"/>
      <c r="BC195" s="10"/>
      <c r="BD195" s="10"/>
      <c r="BE195" s="10"/>
      <c r="BF195" s="10"/>
      <c r="BG195" s="10"/>
      <c r="BH195" s="30"/>
      <c r="BI195" s="10"/>
      <c r="BJ195" s="338"/>
      <c r="BK195" s="338"/>
      <c r="BL195" s="303"/>
      <c r="BM195" s="5"/>
      <c r="BN195" s="10"/>
      <c r="BO195" s="8"/>
      <c r="BP195" s="5"/>
      <c r="BQ195" s="10"/>
      <c r="BR195" s="29">
        <v>1994</v>
      </c>
      <c r="BS195" s="64">
        <v>1994</v>
      </c>
      <c r="BT195" s="14">
        <v>6</v>
      </c>
      <c r="BU195" s="10"/>
      <c r="BV195" s="8">
        <v>0</v>
      </c>
      <c r="BW195" s="10">
        <v>1</v>
      </c>
      <c r="BX195" s="10"/>
      <c r="BY195" s="10"/>
      <c r="BZ195" s="10"/>
      <c r="CA195" s="10"/>
      <c r="CB195" s="10"/>
      <c r="CC195" s="221"/>
      <c r="CD195" s="10">
        <v>11</v>
      </c>
      <c r="CE195" s="317"/>
      <c r="CF195" s="10">
        <v>0</v>
      </c>
      <c r="CG195" s="10">
        <v>0</v>
      </c>
      <c r="CH195" s="10"/>
      <c r="CI195" s="10">
        <v>0</v>
      </c>
      <c r="CJ195" s="10">
        <v>4</v>
      </c>
      <c r="CK195" s="10"/>
      <c r="CL195" s="10"/>
      <c r="CM195" s="10">
        <v>0</v>
      </c>
      <c r="CN195" s="10"/>
      <c r="CO195" s="10">
        <v>1</v>
      </c>
      <c r="CP195" s="317"/>
      <c r="CQ195" s="10"/>
      <c r="CR195" s="10"/>
      <c r="CS195" s="10">
        <v>0</v>
      </c>
      <c r="CT195" s="10">
        <v>1</v>
      </c>
      <c r="CU195" s="10">
        <v>8</v>
      </c>
      <c r="CV195" s="10">
        <v>0</v>
      </c>
      <c r="CW195" s="10"/>
      <c r="CX195" s="10"/>
      <c r="CY195" s="59">
        <v>0</v>
      </c>
      <c r="CZ195" s="59"/>
      <c r="DA195" s="59"/>
      <c r="DB195" s="10">
        <v>6</v>
      </c>
      <c r="DC195" s="10"/>
      <c r="DD195" s="10"/>
      <c r="DE195" s="10"/>
      <c r="DF195" s="10"/>
      <c r="DG195" s="10">
        <v>2</v>
      </c>
      <c r="DH195" s="10">
        <v>0</v>
      </c>
      <c r="DI195" s="10">
        <v>0</v>
      </c>
      <c r="DJ195" s="59">
        <v>0</v>
      </c>
      <c r="DK195" s="59"/>
      <c r="DL195" s="59"/>
      <c r="DM195" s="10">
        <v>2</v>
      </c>
      <c r="DN195" s="10"/>
      <c r="DO195" s="10">
        <v>0</v>
      </c>
      <c r="DP195" s="10"/>
      <c r="DQ195" s="10"/>
      <c r="DR195" s="10"/>
      <c r="DS195" s="59">
        <v>0</v>
      </c>
      <c r="DT195" s="10">
        <v>0</v>
      </c>
      <c r="DU195" s="10">
        <v>0</v>
      </c>
      <c r="DV195" s="38">
        <f t="shared" si="87"/>
        <v>36</v>
      </c>
      <c r="DW195" s="14" t="str">
        <f t="shared" si="88"/>
        <v/>
      </c>
    </row>
    <row r="196" spans="1:127" customFormat="1">
      <c r="A196" s="210">
        <v>34425</v>
      </c>
      <c r="B196" s="211"/>
      <c r="C196" s="8">
        <v>0</v>
      </c>
      <c r="D196" s="10">
        <v>13</v>
      </c>
      <c r="E196" s="10">
        <v>0</v>
      </c>
      <c r="F196" s="10">
        <v>0</v>
      </c>
      <c r="G196" s="10">
        <v>1</v>
      </c>
      <c r="H196" s="10">
        <v>0</v>
      </c>
      <c r="I196" s="10">
        <v>0</v>
      </c>
      <c r="J196" s="10">
        <v>1</v>
      </c>
      <c r="K196" s="59">
        <v>0</v>
      </c>
      <c r="L196" s="59">
        <v>0</v>
      </c>
      <c r="M196" s="59"/>
      <c r="N196" s="59"/>
      <c r="O196" s="10">
        <v>12</v>
      </c>
      <c r="P196" s="10">
        <v>0</v>
      </c>
      <c r="Q196" s="10">
        <v>0</v>
      </c>
      <c r="R196" s="10">
        <v>1</v>
      </c>
      <c r="S196" s="35">
        <f t="shared" si="86"/>
        <v>28</v>
      </c>
      <c r="T196" s="10">
        <v>8</v>
      </c>
      <c r="U196" s="10"/>
      <c r="V196" s="10"/>
      <c r="W196" s="10">
        <v>0</v>
      </c>
      <c r="X196" s="5">
        <v>1</v>
      </c>
      <c r="Y196" s="10"/>
      <c r="Z196" s="8"/>
      <c r="AA196" s="10">
        <v>545746</v>
      </c>
      <c r="AB196" s="10"/>
      <c r="AC196" s="8"/>
      <c r="AD196" s="10"/>
      <c r="AE196" s="35"/>
      <c r="AF196" s="10"/>
      <c r="AG196" s="8">
        <v>54</v>
      </c>
      <c r="AH196" s="10">
        <v>22</v>
      </c>
      <c r="AI196" s="10">
        <v>92</v>
      </c>
      <c r="AJ196" s="5">
        <v>20</v>
      </c>
      <c r="AK196" s="10"/>
      <c r="AL196" s="8"/>
      <c r="AM196" s="10"/>
      <c r="AN196" s="35"/>
      <c r="AO196" s="10"/>
      <c r="AP196" s="10"/>
      <c r="AQ196" s="35"/>
      <c r="AR196" s="59"/>
      <c r="AS196" s="59"/>
      <c r="AT196" s="59"/>
      <c r="AU196" s="59"/>
      <c r="AV196" s="62"/>
      <c r="AW196" s="10"/>
      <c r="AX196" s="326"/>
      <c r="AY196" s="5"/>
      <c r="AZ196" s="10"/>
      <c r="BA196" s="8">
        <v>1569</v>
      </c>
      <c r="BB196" s="10"/>
      <c r="BC196" s="10">
        <v>18214912</v>
      </c>
      <c r="BD196" s="10"/>
      <c r="BE196" s="10">
        <v>79</v>
      </c>
      <c r="BF196" s="10">
        <v>10</v>
      </c>
      <c r="BG196" s="10">
        <v>3</v>
      </c>
      <c r="BH196" s="30"/>
      <c r="BI196" s="10"/>
      <c r="BJ196" s="338"/>
      <c r="BK196" s="338"/>
      <c r="BL196" s="303"/>
      <c r="BM196" s="5"/>
      <c r="BN196" s="10"/>
      <c r="BO196" s="8"/>
      <c r="BP196" s="5"/>
      <c r="BQ196" s="10"/>
      <c r="BR196" s="29">
        <v>1994</v>
      </c>
      <c r="BS196" s="64">
        <v>1994</v>
      </c>
      <c r="BT196" s="14">
        <v>7</v>
      </c>
      <c r="BU196" s="10"/>
      <c r="BV196" s="8">
        <v>0</v>
      </c>
      <c r="BW196" s="10">
        <v>2</v>
      </c>
      <c r="BX196" s="10"/>
      <c r="BY196" s="10"/>
      <c r="BZ196" s="10"/>
      <c r="CA196" s="10"/>
      <c r="CB196" s="10"/>
      <c r="CC196" s="221"/>
      <c r="CD196" s="10">
        <v>3</v>
      </c>
      <c r="CE196" s="317"/>
      <c r="CF196" s="10">
        <v>0</v>
      </c>
      <c r="CG196" s="10">
        <v>0</v>
      </c>
      <c r="CH196" s="10"/>
      <c r="CI196" s="10">
        <v>0</v>
      </c>
      <c r="CJ196" s="10">
        <v>2</v>
      </c>
      <c r="CK196" s="10"/>
      <c r="CL196" s="10"/>
      <c r="CM196" s="10">
        <v>0</v>
      </c>
      <c r="CN196" s="10"/>
      <c r="CO196" s="10">
        <v>1</v>
      </c>
      <c r="CP196" s="317"/>
      <c r="CQ196" s="10"/>
      <c r="CR196" s="10"/>
      <c r="CS196" s="10">
        <v>0</v>
      </c>
      <c r="CT196" s="10">
        <v>3</v>
      </c>
      <c r="CU196" s="10">
        <v>0</v>
      </c>
      <c r="CV196" s="10">
        <v>0</v>
      </c>
      <c r="CW196" s="10"/>
      <c r="CX196" s="10"/>
      <c r="CY196" s="59">
        <v>0</v>
      </c>
      <c r="CZ196" s="59"/>
      <c r="DA196" s="59"/>
      <c r="DB196" s="10">
        <v>1</v>
      </c>
      <c r="DC196" s="10"/>
      <c r="DD196" s="10"/>
      <c r="DE196" s="10"/>
      <c r="DF196" s="10"/>
      <c r="DG196" s="10">
        <v>1</v>
      </c>
      <c r="DH196" s="10">
        <v>0</v>
      </c>
      <c r="DI196" s="10">
        <v>0</v>
      </c>
      <c r="DJ196" s="59">
        <v>0</v>
      </c>
      <c r="DK196" s="59"/>
      <c r="DL196" s="59"/>
      <c r="DM196" s="10">
        <v>1</v>
      </c>
      <c r="DN196" s="10"/>
      <c r="DO196" s="10">
        <v>0</v>
      </c>
      <c r="DP196" s="10"/>
      <c r="DQ196" s="10"/>
      <c r="DR196" s="10"/>
      <c r="DS196" s="59">
        <v>0</v>
      </c>
      <c r="DT196" s="10">
        <v>13</v>
      </c>
      <c r="DU196" s="10">
        <v>1</v>
      </c>
      <c r="DV196" s="38">
        <f t="shared" si="87"/>
        <v>28</v>
      </c>
      <c r="DW196" s="14" t="str">
        <f t="shared" si="88"/>
        <v/>
      </c>
    </row>
    <row r="197" spans="1:127" customFormat="1">
      <c r="A197" s="210">
        <v>34439</v>
      </c>
      <c r="B197" s="211"/>
      <c r="C197" s="8">
        <v>4</v>
      </c>
      <c r="D197" s="10">
        <v>26</v>
      </c>
      <c r="E197" s="10">
        <v>0</v>
      </c>
      <c r="F197" s="10">
        <v>0</v>
      </c>
      <c r="G197" s="10">
        <v>3</v>
      </c>
      <c r="H197" s="10">
        <v>0</v>
      </c>
      <c r="I197" s="10">
        <v>0</v>
      </c>
      <c r="J197" s="10">
        <v>4</v>
      </c>
      <c r="K197" s="59">
        <v>0</v>
      </c>
      <c r="L197" s="59">
        <v>0</v>
      </c>
      <c r="M197" s="59"/>
      <c r="N197" s="59"/>
      <c r="O197" s="10">
        <v>20</v>
      </c>
      <c r="P197" s="10">
        <v>0</v>
      </c>
      <c r="Q197" s="10">
        <v>0</v>
      </c>
      <c r="R197" s="10">
        <v>0</v>
      </c>
      <c r="S197" s="35">
        <f t="shared" si="86"/>
        <v>57</v>
      </c>
      <c r="T197" s="10">
        <v>12</v>
      </c>
      <c r="U197" s="10"/>
      <c r="V197" s="10"/>
      <c r="W197" s="10">
        <v>4</v>
      </c>
      <c r="X197" s="5">
        <v>0</v>
      </c>
      <c r="Y197" s="10"/>
      <c r="Z197" s="8"/>
      <c r="AA197" s="10">
        <v>1156390</v>
      </c>
      <c r="AB197" s="10"/>
      <c r="AC197" s="8"/>
      <c r="AD197" s="10"/>
      <c r="AE197" s="35"/>
      <c r="AF197" s="10"/>
      <c r="AG197" s="8">
        <v>97</v>
      </c>
      <c r="AH197" s="10">
        <v>25</v>
      </c>
      <c r="AI197" s="10">
        <v>142</v>
      </c>
      <c r="AJ197" s="5">
        <v>28</v>
      </c>
      <c r="AK197" s="10"/>
      <c r="AL197" s="8"/>
      <c r="AM197" s="10"/>
      <c r="AN197" s="35"/>
      <c r="AO197" s="10"/>
      <c r="AP197" s="10"/>
      <c r="AQ197" s="35"/>
      <c r="AR197" s="59"/>
      <c r="AS197" s="59"/>
      <c r="AT197" s="59"/>
      <c r="AU197" s="59"/>
      <c r="AV197" s="62"/>
      <c r="AW197" s="10"/>
      <c r="AX197" s="326"/>
      <c r="AY197" s="5"/>
      <c r="AZ197" s="10"/>
      <c r="BA197" s="8"/>
      <c r="BB197" s="10"/>
      <c r="BC197" s="10"/>
      <c r="BD197" s="10"/>
      <c r="BE197" s="10"/>
      <c r="BF197" s="10"/>
      <c r="BG197" s="10"/>
      <c r="BH197" s="30"/>
      <c r="BI197" s="10"/>
      <c r="BJ197" s="338"/>
      <c r="BK197" s="338"/>
      <c r="BL197" s="303"/>
      <c r="BM197" s="5"/>
      <c r="BN197" s="10"/>
      <c r="BO197" s="8"/>
      <c r="BP197" s="5"/>
      <c r="BQ197" s="10"/>
      <c r="BR197" s="29">
        <v>1994</v>
      </c>
      <c r="BS197" s="64">
        <v>1994</v>
      </c>
      <c r="BT197" s="14">
        <v>8</v>
      </c>
      <c r="BU197" s="10"/>
      <c r="BV197" s="8">
        <v>12</v>
      </c>
      <c r="BW197" s="10">
        <v>18</v>
      </c>
      <c r="BX197" s="10"/>
      <c r="BY197" s="10"/>
      <c r="BZ197" s="10"/>
      <c r="CA197" s="10"/>
      <c r="CB197" s="10"/>
      <c r="CC197" s="221"/>
      <c r="CD197" s="10">
        <v>4</v>
      </c>
      <c r="CE197" s="317"/>
      <c r="CF197" s="10">
        <v>0</v>
      </c>
      <c r="CG197" s="10">
        <v>0</v>
      </c>
      <c r="CH197" s="10"/>
      <c r="CI197" s="10">
        <v>3</v>
      </c>
      <c r="CJ197" s="10">
        <v>7</v>
      </c>
      <c r="CK197" s="10"/>
      <c r="CL197" s="10"/>
      <c r="CM197" s="10">
        <v>0</v>
      </c>
      <c r="CN197" s="10"/>
      <c r="CO197" s="10">
        <v>0</v>
      </c>
      <c r="CP197" s="317"/>
      <c r="CQ197" s="10"/>
      <c r="CR197" s="10"/>
      <c r="CS197" s="10">
        <v>0</v>
      </c>
      <c r="CT197" s="10">
        <v>1</v>
      </c>
      <c r="CU197" s="10">
        <v>1</v>
      </c>
      <c r="CV197" s="10">
        <v>0</v>
      </c>
      <c r="CW197" s="10"/>
      <c r="CX197" s="10"/>
      <c r="CY197" s="59">
        <v>0</v>
      </c>
      <c r="CZ197" s="59"/>
      <c r="DA197" s="59"/>
      <c r="DB197" s="10">
        <v>7</v>
      </c>
      <c r="DC197" s="10"/>
      <c r="DD197" s="10"/>
      <c r="DE197" s="10"/>
      <c r="DF197" s="10"/>
      <c r="DG197" s="10">
        <v>0</v>
      </c>
      <c r="DH197" s="10">
        <v>0</v>
      </c>
      <c r="DI197" s="10">
        <v>2</v>
      </c>
      <c r="DJ197" s="59">
        <v>0</v>
      </c>
      <c r="DK197" s="59"/>
      <c r="DL197" s="59"/>
      <c r="DM197" s="10">
        <v>1</v>
      </c>
      <c r="DN197" s="10"/>
      <c r="DO197" s="10">
        <v>1</v>
      </c>
      <c r="DP197" s="10"/>
      <c r="DQ197" s="10"/>
      <c r="DR197" s="10"/>
      <c r="DS197" s="59">
        <v>0</v>
      </c>
      <c r="DT197" s="10">
        <v>0</v>
      </c>
      <c r="DU197" s="10">
        <v>0</v>
      </c>
      <c r="DV197" s="38">
        <f t="shared" si="87"/>
        <v>57</v>
      </c>
      <c r="DW197" s="14" t="str">
        <f t="shared" si="88"/>
        <v/>
      </c>
    </row>
    <row r="198" spans="1:127" customFormat="1">
      <c r="A198" s="210">
        <v>34455</v>
      </c>
      <c r="B198" s="211"/>
      <c r="C198" s="8">
        <v>4</v>
      </c>
      <c r="D198" s="10">
        <v>9</v>
      </c>
      <c r="E198" s="10">
        <v>1</v>
      </c>
      <c r="F198" s="10">
        <v>0</v>
      </c>
      <c r="G198" s="10">
        <v>1</v>
      </c>
      <c r="H198" s="10">
        <v>2</v>
      </c>
      <c r="I198" s="10">
        <v>0</v>
      </c>
      <c r="J198" s="10">
        <v>2</v>
      </c>
      <c r="K198" s="59">
        <v>0</v>
      </c>
      <c r="L198" s="59">
        <v>0</v>
      </c>
      <c r="M198" s="59"/>
      <c r="N198" s="59"/>
      <c r="O198" s="10">
        <v>23</v>
      </c>
      <c r="P198" s="10">
        <v>0</v>
      </c>
      <c r="Q198" s="10">
        <v>0</v>
      </c>
      <c r="R198" s="10">
        <v>0</v>
      </c>
      <c r="S198" s="35">
        <f t="shared" si="86"/>
        <v>42</v>
      </c>
      <c r="T198" s="10">
        <v>1</v>
      </c>
      <c r="U198" s="10"/>
      <c r="V198" s="10"/>
      <c r="W198" s="10">
        <v>0</v>
      </c>
      <c r="X198" s="5">
        <v>0</v>
      </c>
      <c r="Y198" s="10"/>
      <c r="Z198" s="8"/>
      <c r="AA198" s="10">
        <v>1382243</v>
      </c>
      <c r="AB198" s="10"/>
      <c r="AC198" s="8"/>
      <c r="AD198" s="10"/>
      <c r="AE198" s="35"/>
      <c r="AF198" s="10"/>
      <c r="AG198" s="8">
        <v>51</v>
      </c>
      <c r="AH198" s="10">
        <v>27</v>
      </c>
      <c r="AI198" s="10">
        <v>94</v>
      </c>
      <c r="AJ198" s="5">
        <v>20</v>
      </c>
      <c r="AK198" s="10"/>
      <c r="AL198" s="8"/>
      <c r="AM198" s="10"/>
      <c r="AN198" s="35"/>
      <c r="AO198" s="10"/>
      <c r="AP198" s="10"/>
      <c r="AQ198" s="35"/>
      <c r="AR198" s="59"/>
      <c r="AS198" s="59"/>
      <c r="AT198" s="59"/>
      <c r="AU198" s="59"/>
      <c r="AV198" s="62"/>
      <c r="AW198" s="10"/>
      <c r="AX198" s="326"/>
      <c r="AY198" s="5"/>
      <c r="AZ198" s="10"/>
      <c r="BA198" s="8">
        <v>1571</v>
      </c>
      <c r="BB198" s="10"/>
      <c r="BC198" s="10">
        <v>18247680</v>
      </c>
      <c r="BD198" s="10"/>
      <c r="BE198" s="10">
        <v>43</v>
      </c>
      <c r="BF198" s="10">
        <v>3</v>
      </c>
      <c r="BG198" s="10">
        <v>1</v>
      </c>
      <c r="BH198" s="30"/>
      <c r="BI198" s="10"/>
      <c r="BJ198" s="338"/>
      <c r="BK198" s="338"/>
      <c r="BL198" s="303"/>
      <c r="BM198" s="5"/>
      <c r="BN198" s="10"/>
      <c r="BO198" s="8"/>
      <c r="BP198" s="5"/>
      <c r="BQ198" s="10"/>
      <c r="BR198" s="29">
        <v>1994</v>
      </c>
      <c r="BS198" s="64">
        <v>1994</v>
      </c>
      <c r="BT198" s="14">
        <v>9</v>
      </c>
      <c r="BU198" s="10"/>
      <c r="BV198" s="8">
        <v>0</v>
      </c>
      <c r="BW198" s="10">
        <v>3</v>
      </c>
      <c r="BX198" s="10"/>
      <c r="BY198" s="10"/>
      <c r="BZ198" s="10"/>
      <c r="CA198" s="10"/>
      <c r="CB198" s="10"/>
      <c r="CC198" s="221"/>
      <c r="CD198" s="10">
        <v>2</v>
      </c>
      <c r="CE198" s="317"/>
      <c r="CF198" s="10">
        <v>0</v>
      </c>
      <c r="CG198" s="10">
        <v>0</v>
      </c>
      <c r="CH198" s="10"/>
      <c r="CI198" s="10">
        <v>0</v>
      </c>
      <c r="CJ198" s="10">
        <v>4</v>
      </c>
      <c r="CK198" s="10"/>
      <c r="CL198" s="10"/>
      <c r="CM198" s="10">
        <v>0</v>
      </c>
      <c r="CN198" s="10"/>
      <c r="CO198" s="10">
        <v>1</v>
      </c>
      <c r="CP198" s="317"/>
      <c r="CQ198" s="10"/>
      <c r="CR198" s="10"/>
      <c r="CS198" s="10">
        <v>0</v>
      </c>
      <c r="CT198" s="10">
        <v>5</v>
      </c>
      <c r="CU198" s="10">
        <v>3</v>
      </c>
      <c r="CV198" s="10">
        <v>4</v>
      </c>
      <c r="CW198" s="10"/>
      <c r="CX198" s="10"/>
      <c r="CY198" s="59">
        <v>0</v>
      </c>
      <c r="CZ198" s="59"/>
      <c r="DA198" s="59"/>
      <c r="DB198" s="10">
        <v>2</v>
      </c>
      <c r="DC198" s="10"/>
      <c r="DD198" s="10"/>
      <c r="DE198" s="10"/>
      <c r="DF198" s="10"/>
      <c r="DG198" s="10">
        <v>0</v>
      </c>
      <c r="DH198" s="10">
        <v>0</v>
      </c>
      <c r="DI198" s="10">
        <v>1</v>
      </c>
      <c r="DJ198" s="59">
        <v>0</v>
      </c>
      <c r="DK198" s="59"/>
      <c r="DL198" s="59"/>
      <c r="DM198" s="10">
        <v>17</v>
      </c>
      <c r="DN198" s="10"/>
      <c r="DO198" s="10">
        <v>0</v>
      </c>
      <c r="DP198" s="10"/>
      <c r="DQ198" s="10"/>
      <c r="DR198" s="10"/>
      <c r="DS198" s="59">
        <v>0</v>
      </c>
      <c r="DT198" s="10">
        <v>0</v>
      </c>
      <c r="DU198" s="10">
        <v>0</v>
      </c>
      <c r="DV198" s="38">
        <f t="shared" si="87"/>
        <v>42</v>
      </c>
      <c r="DW198" s="14" t="str">
        <f t="shared" si="88"/>
        <v/>
      </c>
    </row>
    <row r="199" spans="1:127" customFormat="1">
      <c r="A199" s="210">
        <v>34469</v>
      </c>
      <c r="B199" s="211"/>
      <c r="C199" s="8">
        <v>2</v>
      </c>
      <c r="D199" s="10">
        <v>18</v>
      </c>
      <c r="E199" s="10">
        <v>1</v>
      </c>
      <c r="F199" s="10">
        <v>0</v>
      </c>
      <c r="G199" s="10">
        <v>2</v>
      </c>
      <c r="H199" s="10">
        <v>1</v>
      </c>
      <c r="I199" s="10">
        <v>0</v>
      </c>
      <c r="J199" s="10">
        <v>8</v>
      </c>
      <c r="K199" s="59">
        <v>0</v>
      </c>
      <c r="L199" s="59">
        <v>0</v>
      </c>
      <c r="M199" s="59"/>
      <c r="N199" s="59"/>
      <c r="O199" s="10">
        <v>5</v>
      </c>
      <c r="P199" s="10">
        <v>0</v>
      </c>
      <c r="Q199" s="10">
        <v>0</v>
      </c>
      <c r="R199" s="10">
        <v>0</v>
      </c>
      <c r="S199" s="35">
        <f t="shared" si="86"/>
        <v>37</v>
      </c>
      <c r="T199" s="10">
        <v>1</v>
      </c>
      <c r="U199" s="10"/>
      <c r="V199" s="10"/>
      <c r="W199" s="10">
        <v>0</v>
      </c>
      <c r="X199" s="5">
        <v>0</v>
      </c>
      <c r="Y199" s="10"/>
      <c r="Z199" s="8"/>
      <c r="AA199" s="10">
        <v>590346</v>
      </c>
      <c r="AB199" s="10"/>
      <c r="AC199" s="8"/>
      <c r="AD199" s="10"/>
      <c r="AE199" s="35"/>
      <c r="AF199" s="10"/>
      <c r="AG199" s="8">
        <v>62</v>
      </c>
      <c r="AH199" s="10">
        <v>30</v>
      </c>
      <c r="AI199" s="10">
        <v>106</v>
      </c>
      <c r="AJ199" s="5">
        <v>20</v>
      </c>
      <c r="AK199" s="10"/>
      <c r="AL199" s="8"/>
      <c r="AM199" s="10"/>
      <c r="AN199" s="35"/>
      <c r="AO199" s="10"/>
      <c r="AP199" s="10"/>
      <c r="AQ199" s="35"/>
      <c r="AR199" s="59"/>
      <c r="AS199" s="59"/>
      <c r="AT199" s="59"/>
      <c r="AU199" s="59"/>
      <c r="AV199" s="62"/>
      <c r="AW199" s="10"/>
      <c r="AX199" s="326"/>
      <c r="AY199" s="5"/>
      <c r="AZ199" s="10"/>
      <c r="BA199" s="8"/>
      <c r="BB199" s="10"/>
      <c r="BC199" s="10"/>
      <c r="BD199" s="10"/>
      <c r="BE199" s="10"/>
      <c r="BF199" s="10"/>
      <c r="BG199" s="10"/>
      <c r="BH199" s="30"/>
      <c r="BI199" s="10"/>
      <c r="BJ199" s="338"/>
      <c r="BK199" s="338"/>
      <c r="BL199" s="303"/>
      <c r="BM199" s="5"/>
      <c r="BN199" s="10"/>
      <c r="BO199" s="8"/>
      <c r="BP199" s="5"/>
      <c r="BQ199" s="10"/>
      <c r="BR199" s="29">
        <v>1994</v>
      </c>
      <c r="BS199" s="64">
        <v>1994</v>
      </c>
      <c r="BT199" s="14">
        <v>10</v>
      </c>
      <c r="BU199" s="10"/>
      <c r="BV199" s="8">
        <v>0</v>
      </c>
      <c r="BW199" s="10">
        <v>0</v>
      </c>
      <c r="BX199" s="10"/>
      <c r="BY199" s="10"/>
      <c r="BZ199" s="10"/>
      <c r="CA199" s="10"/>
      <c r="CB199" s="10"/>
      <c r="CC199" s="221"/>
      <c r="CD199" s="10">
        <v>12</v>
      </c>
      <c r="CE199" s="317"/>
      <c r="CF199" s="10">
        <v>0</v>
      </c>
      <c r="CG199" s="10">
        <v>7</v>
      </c>
      <c r="CH199" s="10"/>
      <c r="CI199" s="10">
        <v>0</v>
      </c>
      <c r="CJ199" s="10">
        <v>1</v>
      </c>
      <c r="CK199" s="10"/>
      <c r="CL199" s="10"/>
      <c r="CM199" s="10">
        <v>0</v>
      </c>
      <c r="CN199" s="10"/>
      <c r="CO199" s="10">
        <v>0</v>
      </c>
      <c r="CP199" s="317"/>
      <c r="CQ199" s="10"/>
      <c r="CR199" s="10"/>
      <c r="CS199" s="10">
        <v>0</v>
      </c>
      <c r="CT199" s="10">
        <v>0</v>
      </c>
      <c r="CU199" s="10">
        <v>7</v>
      </c>
      <c r="CV199" s="10">
        <v>1</v>
      </c>
      <c r="CW199" s="10"/>
      <c r="CX199" s="10"/>
      <c r="CY199" s="59">
        <v>0</v>
      </c>
      <c r="CZ199" s="59"/>
      <c r="DA199" s="59"/>
      <c r="DB199" s="10">
        <v>0</v>
      </c>
      <c r="DC199" s="10"/>
      <c r="DD199" s="10"/>
      <c r="DE199" s="10"/>
      <c r="DF199" s="10"/>
      <c r="DG199" s="10">
        <v>1</v>
      </c>
      <c r="DH199" s="10">
        <v>0</v>
      </c>
      <c r="DI199" s="10">
        <v>0</v>
      </c>
      <c r="DJ199" s="59">
        <v>0</v>
      </c>
      <c r="DK199" s="59"/>
      <c r="DL199" s="59"/>
      <c r="DM199" s="10">
        <v>4</v>
      </c>
      <c r="DN199" s="10"/>
      <c r="DO199" s="10">
        <v>0</v>
      </c>
      <c r="DP199" s="10"/>
      <c r="DQ199" s="10"/>
      <c r="DR199" s="10"/>
      <c r="DS199" s="59">
        <v>0</v>
      </c>
      <c r="DT199" s="10">
        <v>4</v>
      </c>
      <c r="DU199" s="10">
        <v>0</v>
      </c>
      <c r="DV199" s="38">
        <f t="shared" si="87"/>
        <v>37</v>
      </c>
      <c r="DW199" s="14" t="str">
        <f t="shared" si="88"/>
        <v/>
      </c>
    </row>
    <row r="200" spans="1:127" customFormat="1">
      <c r="A200" s="210">
        <v>34486</v>
      </c>
      <c r="B200" s="211"/>
      <c r="C200" s="8">
        <v>3</v>
      </c>
      <c r="D200" s="10">
        <v>52</v>
      </c>
      <c r="E200" s="10">
        <v>8</v>
      </c>
      <c r="F200" s="10">
        <v>0</v>
      </c>
      <c r="G200" s="10">
        <v>3</v>
      </c>
      <c r="H200" s="10">
        <v>2</v>
      </c>
      <c r="I200" s="10">
        <v>0</v>
      </c>
      <c r="J200" s="10">
        <v>3</v>
      </c>
      <c r="K200" s="59">
        <v>0</v>
      </c>
      <c r="L200" s="59">
        <v>0</v>
      </c>
      <c r="M200" s="59"/>
      <c r="N200" s="59"/>
      <c r="O200" s="10">
        <v>9</v>
      </c>
      <c r="P200" s="10">
        <v>0</v>
      </c>
      <c r="Q200" s="10">
        <v>0</v>
      </c>
      <c r="R200" s="10">
        <v>0</v>
      </c>
      <c r="S200" s="35">
        <f t="shared" si="86"/>
        <v>80</v>
      </c>
      <c r="T200" s="10">
        <v>18</v>
      </c>
      <c r="U200" s="10"/>
      <c r="V200" s="10"/>
      <c r="W200" s="10">
        <v>11</v>
      </c>
      <c r="X200" s="5">
        <v>0</v>
      </c>
      <c r="Y200" s="10"/>
      <c r="Z200" s="8"/>
      <c r="AA200" s="10">
        <v>1749409</v>
      </c>
      <c r="AB200" s="10"/>
      <c r="AC200" s="8"/>
      <c r="AD200" s="10"/>
      <c r="AE200" s="35"/>
      <c r="AF200" s="10"/>
      <c r="AG200" s="8">
        <v>148</v>
      </c>
      <c r="AH200" s="10">
        <v>1</v>
      </c>
      <c r="AI200" s="10">
        <v>170</v>
      </c>
      <c r="AJ200" s="5">
        <v>36</v>
      </c>
      <c r="AK200" s="10"/>
      <c r="AL200" s="8"/>
      <c r="AM200" s="10"/>
      <c r="AN200" s="35"/>
      <c r="AO200" s="10"/>
      <c r="AP200" s="10"/>
      <c r="AQ200" s="35"/>
      <c r="AR200" s="59"/>
      <c r="AS200" s="59"/>
      <c r="AT200" s="59"/>
      <c r="AU200" s="59"/>
      <c r="AV200" s="62"/>
      <c r="AW200" s="10"/>
      <c r="AX200" s="326"/>
      <c r="AY200" s="5"/>
      <c r="AZ200" s="10"/>
      <c r="BA200" s="8">
        <v>1576</v>
      </c>
      <c r="BB200" s="10"/>
      <c r="BC200" s="10"/>
      <c r="BD200" s="10"/>
      <c r="BE200" s="10">
        <v>61</v>
      </c>
      <c r="BF200" s="10">
        <v>5</v>
      </c>
      <c r="BG200" s="10">
        <v>0</v>
      </c>
      <c r="BH200" s="30"/>
      <c r="BI200" s="10"/>
      <c r="BJ200" s="338"/>
      <c r="BK200" s="338"/>
      <c r="BL200" s="303"/>
      <c r="BM200" s="5"/>
      <c r="BN200" s="10"/>
      <c r="BO200" s="8"/>
      <c r="BP200" s="5"/>
      <c r="BQ200" s="10"/>
      <c r="BR200" s="29">
        <v>1994</v>
      </c>
      <c r="BS200" s="64">
        <v>1994</v>
      </c>
      <c r="BT200" s="14">
        <v>11</v>
      </c>
      <c r="BU200" s="10"/>
      <c r="BV200" s="8">
        <v>1</v>
      </c>
      <c r="BW200" s="10">
        <v>3</v>
      </c>
      <c r="BX200" s="10"/>
      <c r="BY200" s="10"/>
      <c r="BZ200" s="10"/>
      <c r="CA200" s="10"/>
      <c r="CB200" s="10"/>
      <c r="CC200" s="221"/>
      <c r="CD200" s="10">
        <v>2</v>
      </c>
      <c r="CE200" s="317"/>
      <c r="CF200" s="10">
        <v>0</v>
      </c>
      <c r="CG200" s="10">
        <v>0</v>
      </c>
      <c r="CH200" s="10"/>
      <c r="CI200" s="10">
        <v>9</v>
      </c>
      <c r="CJ200" s="10">
        <v>16</v>
      </c>
      <c r="CK200" s="10"/>
      <c r="CL200" s="10"/>
      <c r="CM200" s="10">
        <v>0</v>
      </c>
      <c r="CN200" s="10"/>
      <c r="CO200" s="10">
        <v>1</v>
      </c>
      <c r="CP200" s="317"/>
      <c r="CQ200" s="10"/>
      <c r="CR200" s="10"/>
      <c r="CS200" s="10">
        <v>17</v>
      </c>
      <c r="CT200" s="10">
        <v>7</v>
      </c>
      <c r="CU200" s="10">
        <v>8</v>
      </c>
      <c r="CV200" s="10">
        <v>2</v>
      </c>
      <c r="CW200" s="10"/>
      <c r="CX200" s="10"/>
      <c r="CY200" s="59">
        <v>0</v>
      </c>
      <c r="CZ200" s="59"/>
      <c r="DA200" s="59"/>
      <c r="DB200" s="10">
        <v>8</v>
      </c>
      <c r="DC200" s="10"/>
      <c r="DD200" s="10"/>
      <c r="DE200" s="10"/>
      <c r="DF200" s="10"/>
      <c r="DG200" s="10">
        <v>0</v>
      </c>
      <c r="DH200" s="10">
        <v>1</v>
      </c>
      <c r="DI200" s="10">
        <v>0</v>
      </c>
      <c r="DJ200" s="59">
        <v>0</v>
      </c>
      <c r="DK200" s="59"/>
      <c r="DL200" s="59"/>
      <c r="DM200" s="10">
        <v>5</v>
      </c>
      <c r="DN200" s="10"/>
      <c r="DO200" s="10">
        <v>0</v>
      </c>
      <c r="DP200" s="10"/>
      <c r="DQ200" s="10"/>
      <c r="DR200" s="10"/>
      <c r="DS200" s="59">
        <v>0</v>
      </c>
      <c r="DT200" s="10">
        <v>0</v>
      </c>
      <c r="DU200" s="10">
        <v>0</v>
      </c>
      <c r="DV200" s="38">
        <f t="shared" si="87"/>
        <v>80</v>
      </c>
      <c r="DW200" s="14" t="str">
        <f t="shared" si="88"/>
        <v/>
      </c>
    </row>
    <row r="201" spans="1:127" customFormat="1">
      <c r="A201" s="210">
        <v>34500</v>
      </c>
      <c r="B201" s="211"/>
      <c r="C201" s="8">
        <v>3</v>
      </c>
      <c r="D201" s="10">
        <v>8</v>
      </c>
      <c r="E201" s="10">
        <v>0</v>
      </c>
      <c r="F201" s="10">
        <v>0</v>
      </c>
      <c r="G201" s="10">
        <v>0</v>
      </c>
      <c r="H201" s="10">
        <v>1</v>
      </c>
      <c r="I201" s="10">
        <v>0</v>
      </c>
      <c r="J201" s="10">
        <v>0</v>
      </c>
      <c r="K201" s="59">
        <v>0</v>
      </c>
      <c r="L201" s="59">
        <v>0</v>
      </c>
      <c r="M201" s="59"/>
      <c r="N201" s="59"/>
      <c r="O201" s="10">
        <v>1</v>
      </c>
      <c r="P201" s="10">
        <v>0</v>
      </c>
      <c r="Q201" s="10">
        <v>0</v>
      </c>
      <c r="R201" s="10">
        <v>0</v>
      </c>
      <c r="S201" s="35">
        <f t="shared" si="86"/>
        <v>13</v>
      </c>
      <c r="T201" s="10">
        <v>0</v>
      </c>
      <c r="U201" s="10"/>
      <c r="V201" s="10"/>
      <c r="W201" s="10">
        <v>0</v>
      </c>
      <c r="X201" s="5">
        <v>0</v>
      </c>
      <c r="Y201" s="10"/>
      <c r="Z201" s="8"/>
      <c r="AA201" s="10">
        <v>367984</v>
      </c>
      <c r="AB201" s="10"/>
      <c r="AC201" s="8"/>
      <c r="AD201" s="10"/>
      <c r="AE201" s="35"/>
      <c r="AF201" s="10"/>
      <c r="AG201" s="8">
        <v>55</v>
      </c>
      <c r="AH201" s="10">
        <v>39</v>
      </c>
      <c r="AI201" s="10">
        <v>104</v>
      </c>
      <c r="AJ201" s="5">
        <v>16</v>
      </c>
      <c r="AK201" s="10"/>
      <c r="AL201" s="8"/>
      <c r="AM201" s="10"/>
      <c r="AN201" s="35"/>
      <c r="AO201" s="10"/>
      <c r="AP201" s="10"/>
      <c r="AQ201" s="35"/>
      <c r="AR201" s="59"/>
      <c r="AS201" s="59"/>
      <c r="AT201" s="59"/>
      <c r="AU201" s="59"/>
      <c r="AV201" s="62"/>
      <c r="AW201" s="10"/>
      <c r="AX201" s="326"/>
      <c r="AY201" s="5"/>
      <c r="AZ201" s="10"/>
      <c r="BA201" s="8"/>
      <c r="BB201" s="10"/>
      <c r="BC201" s="10"/>
      <c r="BD201" s="10"/>
      <c r="BE201" s="10"/>
      <c r="BF201" s="10"/>
      <c r="BG201" s="10"/>
      <c r="BH201" s="30"/>
      <c r="BI201" s="10"/>
      <c r="BJ201" s="338"/>
      <c r="BK201" s="338"/>
      <c r="BL201" s="303"/>
      <c r="BM201" s="5"/>
      <c r="BN201" s="10"/>
      <c r="BO201" s="8"/>
      <c r="BP201" s="5"/>
      <c r="BQ201" s="10"/>
      <c r="BR201" s="29">
        <v>1994</v>
      </c>
      <c r="BS201" s="64">
        <v>1994</v>
      </c>
      <c r="BT201" s="14">
        <v>12</v>
      </c>
      <c r="BU201" s="10"/>
      <c r="BV201" s="8">
        <v>0</v>
      </c>
      <c r="BW201" s="10">
        <v>0</v>
      </c>
      <c r="BX201" s="10"/>
      <c r="BY201" s="10"/>
      <c r="BZ201" s="10"/>
      <c r="CA201" s="10"/>
      <c r="CB201" s="10"/>
      <c r="CC201" s="221"/>
      <c r="CD201" s="10">
        <v>5</v>
      </c>
      <c r="CE201" s="317"/>
      <c r="CF201" s="10">
        <v>0</v>
      </c>
      <c r="CG201" s="10">
        <v>0</v>
      </c>
      <c r="CH201" s="10"/>
      <c r="CI201" s="10">
        <v>0</v>
      </c>
      <c r="CJ201" s="10">
        <v>0</v>
      </c>
      <c r="CK201" s="10"/>
      <c r="CL201" s="10"/>
      <c r="CM201" s="10">
        <v>0</v>
      </c>
      <c r="CN201" s="10"/>
      <c r="CO201" s="10">
        <v>1</v>
      </c>
      <c r="CP201" s="317"/>
      <c r="CQ201" s="10"/>
      <c r="CR201" s="10"/>
      <c r="CS201" s="10">
        <v>0</v>
      </c>
      <c r="CT201" s="10">
        <v>0</v>
      </c>
      <c r="CU201" s="10">
        <v>1</v>
      </c>
      <c r="CV201" s="10">
        <v>0</v>
      </c>
      <c r="CW201" s="10"/>
      <c r="CX201" s="10"/>
      <c r="CY201" s="59">
        <v>0</v>
      </c>
      <c r="CZ201" s="59"/>
      <c r="DA201" s="59"/>
      <c r="DB201" s="10">
        <v>1</v>
      </c>
      <c r="DC201" s="10"/>
      <c r="DD201" s="10"/>
      <c r="DE201" s="10"/>
      <c r="DF201" s="10"/>
      <c r="DG201" s="10">
        <v>0</v>
      </c>
      <c r="DH201" s="10">
        <v>0</v>
      </c>
      <c r="DI201" s="10">
        <v>3</v>
      </c>
      <c r="DJ201" s="59">
        <v>0</v>
      </c>
      <c r="DK201" s="59"/>
      <c r="DL201" s="59"/>
      <c r="DM201" s="10">
        <v>0</v>
      </c>
      <c r="DN201" s="10"/>
      <c r="DO201" s="10">
        <v>2</v>
      </c>
      <c r="DP201" s="10"/>
      <c r="DQ201" s="10"/>
      <c r="DR201" s="10"/>
      <c r="DS201" s="59">
        <v>0</v>
      </c>
      <c r="DT201" s="10">
        <v>0</v>
      </c>
      <c r="DU201" s="10">
        <v>0</v>
      </c>
      <c r="DV201" s="38">
        <f t="shared" si="87"/>
        <v>13</v>
      </c>
      <c r="DW201" s="14" t="str">
        <f t="shared" si="88"/>
        <v/>
      </c>
    </row>
    <row r="202" spans="1:127" s="6" customFormat="1" ht="12" thickBot="1">
      <c r="A202" s="212" t="s">
        <v>87</v>
      </c>
      <c r="B202" s="83"/>
      <c r="C202" s="52">
        <f t="shared" ref="C202:X202" si="89">SUM(C178:C201)</f>
        <v>84</v>
      </c>
      <c r="D202" s="53">
        <f t="shared" si="89"/>
        <v>515</v>
      </c>
      <c r="E202" s="53">
        <f t="shared" si="89"/>
        <v>40</v>
      </c>
      <c r="F202" s="53">
        <f t="shared" si="89"/>
        <v>21</v>
      </c>
      <c r="G202" s="53">
        <f t="shared" si="89"/>
        <v>53</v>
      </c>
      <c r="H202" s="53">
        <f t="shared" si="89"/>
        <v>42</v>
      </c>
      <c r="I202" s="53">
        <f>SUM(I178:I201)</f>
        <v>0</v>
      </c>
      <c r="J202" s="53">
        <f t="shared" si="89"/>
        <v>94</v>
      </c>
      <c r="K202" s="53">
        <f t="shared" si="89"/>
        <v>0</v>
      </c>
      <c r="L202" s="53">
        <f t="shared" si="89"/>
        <v>0</v>
      </c>
      <c r="M202" s="53"/>
      <c r="N202" s="53"/>
      <c r="O202" s="53">
        <f>SUM(O178:O201)</f>
        <v>569</v>
      </c>
      <c r="P202" s="53">
        <f t="shared" si="89"/>
        <v>10</v>
      </c>
      <c r="Q202" s="53">
        <f t="shared" si="89"/>
        <v>0</v>
      </c>
      <c r="R202" s="53">
        <f t="shared" si="89"/>
        <v>2</v>
      </c>
      <c r="S202" s="55">
        <f t="shared" si="89"/>
        <v>1430</v>
      </c>
      <c r="T202" s="53">
        <f t="shared" si="89"/>
        <v>237</v>
      </c>
      <c r="U202" s="53">
        <f t="shared" si="89"/>
        <v>0</v>
      </c>
      <c r="V202" s="53">
        <f t="shared" ref="V202" si="90">SUM(V178:V201)</f>
        <v>0</v>
      </c>
      <c r="W202" s="53">
        <f t="shared" si="89"/>
        <v>69</v>
      </c>
      <c r="X202" s="54">
        <f t="shared" si="89"/>
        <v>2</v>
      </c>
      <c r="Z202" s="52">
        <f>SUM(Z178:Z201)</f>
        <v>0</v>
      </c>
      <c r="AA202" s="53">
        <f>SUM(AA178:AA201)</f>
        <v>34935956</v>
      </c>
      <c r="AB202" s="53"/>
      <c r="AC202" s="52">
        <f>SUM(AC178:AC201)</f>
        <v>0</v>
      </c>
      <c r="AD202" s="53">
        <f>SUM(AD178:AD201)</f>
        <v>0</v>
      </c>
      <c r="AE202" s="55">
        <f>SUM(AE178:AE201)</f>
        <v>0</v>
      </c>
      <c r="AG202" s="52">
        <f>SUM(AG178:AG201)</f>
        <v>2200</v>
      </c>
      <c r="AH202" s="53">
        <f>SUM(AH178:AH201)</f>
        <v>522</v>
      </c>
      <c r="AI202" s="53">
        <f>SUM(AI178:AI201)</f>
        <v>3368</v>
      </c>
      <c r="AJ202" s="54">
        <f>SUM(AJ178:AJ201)</f>
        <v>482</v>
      </c>
      <c r="AL202" s="52">
        <f t="shared" ref="AL202:AV202" si="91">SUM(AL178:AL201)</f>
        <v>66</v>
      </c>
      <c r="AM202" s="53">
        <f t="shared" si="91"/>
        <v>296</v>
      </c>
      <c r="AN202" s="55">
        <f t="shared" si="91"/>
        <v>362</v>
      </c>
      <c r="AO202" s="53">
        <f t="shared" si="91"/>
        <v>350</v>
      </c>
      <c r="AP202" s="53">
        <f t="shared" si="91"/>
        <v>64</v>
      </c>
      <c r="AQ202" s="55">
        <f t="shared" si="91"/>
        <v>414</v>
      </c>
      <c r="AR202" s="53">
        <f t="shared" si="91"/>
        <v>0</v>
      </c>
      <c r="AS202" s="53">
        <f t="shared" si="91"/>
        <v>0</v>
      </c>
      <c r="AT202" s="53">
        <f t="shared" si="91"/>
        <v>0</v>
      </c>
      <c r="AU202" s="53">
        <f t="shared" si="91"/>
        <v>0</v>
      </c>
      <c r="AV202" s="54">
        <f t="shared" si="91"/>
        <v>0</v>
      </c>
      <c r="AX202" s="329"/>
      <c r="AY202" s="54"/>
      <c r="BA202" s="52">
        <f t="shared" ref="BA202:BM202" si="92">SUM(BA178:BA201)</f>
        <v>18586</v>
      </c>
      <c r="BB202" s="53">
        <f t="shared" si="92"/>
        <v>0</v>
      </c>
      <c r="BC202" s="53">
        <f t="shared" ref="BC202:BL202" si="93">SUM(BC178:BC201)</f>
        <v>72650752</v>
      </c>
      <c r="BD202" s="53">
        <f t="shared" si="93"/>
        <v>0</v>
      </c>
      <c r="BE202" s="53">
        <f t="shared" si="93"/>
        <v>1033</v>
      </c>
      <c r="BF202" s="53">
        <f t="shared" si="93"/>
        <v>111</v>
      </c>
      <c r="BG202" s="53">
        <f t="shared" si="93"/>
        <v>44</v>
      </c>
      <c r="BH202" s="55"/>
      <c r="BI202" s="53">
        <f t="shared" si="93"/>
        <v>0</v>
      </c>
      <c r="BJ202" s="339"/>
      <c r="BK202" s="339"/>
      <c r="BL202" s="53">
        <f t="shared" si="93"/>
        <v>0</v>
      </c>
      <c r="BM202" s="54">
        <f t="shared" si="92"/>
        <v>3592</v>
      </c>
      <c r="BO202" s="52">
        <f>SUM(BO178:BO201)</f>
        <v>0</v>
      </c>
      <c r="BP202" s="54">
        <f>SUM(BP178:BP201)</f>
        <v>0</v>
      </c>
      <c r="BR202" s="81" t="s">
        <v>88</v>
      </c>
      <c r="BS202" s="80"/>
      <c r="BT202" s="82"/>
      <c r="BV202" s="52">
        <f>SUM(BV178:BV201)</f>
        <v>84</v>
      </c>
      <c r="BW202" s="53">
        <f>SUM(BW178:BW201)</f>
        <v>99</v>
      </c>
      <c r="BX202" s="53">
        <f t="shared" ref="BX202:DU202" si="94">SUM(BX178:BX201)</f>
        <v>0</v>
      </c>
      <c r="BY202" s="53">
        <f t="shared" si="94"/>
        <v>0</v>
      </c>
      <c r="BZ202" s="53">
        <f t="shared" si="94"/>
        <v>0</v>
      </c>
      <c r="CA202" s="53">
        <f t="shared" si="94"/>
        <v>0</v>
      </c>
      <c r="CB202" s="53">
        <f t="shared" si="94"/>
        <v>0</v>
      </c>
      <c r="CC202" s="53">
        <f t="shared" si="94"/>
        <v>0</v>
      </c>
      <c r="CD202" s="53">
        <f t="shared" si="94"/>
        <v>140</v>
      </c>
      <c r="CE202" s="53">
        <f t="shared" si="94"/>
        <v>0</v>
      </c>
      <c r="CF202" s="53">
        <f t="shared" si="94"/>
        <v>14</v>
      </c>
      <c r="CG202" s="53">
        <f t="shared" si="94"/>
        <v>26</v>
      </c>
      <c r="CH202" s="53">
        <f t="shared" si="94"/>
        <v>0</v>
      </c>
      <c r="CI202" s="53">
        <f t="shared" si="94"/>
        <v>51</v>
      </c>
      <c r="CJ202" s="53">
        <f t="shared" si="94"/>
        <v>163</v>
      </c>
      <c r="CK202" s="53">
        <f t="shared" si="94"/>
        <v>0</v>
      </c>
      <c r="CL202" s="53">
        <f t="shared" si="94"/>
        <v>0</v>
      </c>
      <c r="CM202" s="53">
        <f t="shared" si="94"/>
        <v>5</v>
      </c>
      <c r="CN202" s="53">
        <f t="shared" si="94"/>
        <v>0</v>
      </c>
      <c r="CO202" s="53">
        <f t="shared" si="94"/>
        <v>118</v>
      </c>
      <c r="CP202" s="53">
        <f t="shared" si="94"/>
        <v>0</v>
      </c>
      <c r="CQ202" s="53">
        <f t="shared" si="94"/>
        <v>0</v>
      </c>
      <c r="CR202" s="53">
        <f t="shared" si="94"/>
        <v>0</v>
      </c>
      <c r="CS202" s="53">
        <f t="shared" si="94"/>
        <v>36</v>
      </c>
      <c r="CT202" s="53">
        <f t="shared" si="94"/>
        <v>144</v>
      </c>
      <c r="CU202" s="53">
        <f t="shared" si="94"/>
        <v>151</v>
      </c>
      <c r="CV202" s="53">
        <f t="shared" si="94"/>
        <v>36</v>
      </c>
      <c r="CW202" s="53">
        <f t="shared" si="94"/>
        <v>0</v>
      </c>
      <c r="CX202" s="53">
        <f t="shared" si="94"/>
        <v>0</v>
      </c>
      <c r="CY202" s="53">
        <f t="shared" si="94"/>
        <v>0</v>
      </c>
      <c r="CZ202" s="53">
        <f t="shared" si="94"/>
        <v>0</v>
      </c>
      <c r="DA202" s="53">
        <f t="shared" si="94"/>
        <v>0</v>
      </c>
      <c r="DB202" s="53">
        <f t="shared" si="94"/>
        <v>133</v>
      </c>
      <c r="DC202" s="53">
        <f t="shared" si="94"/>
        <v>0</v>
      </c>
      <c r="DD202" s="53">
        <f t="shared" si="94"/>
        <v>0</v>
      </c>
      <c r="DE202" s="53">
        <f t="shared" si="94"/>
        <v>0</v>
      </c>
      <c r="DF202" s="53">
        <f t="shared" si="94"/>
        <v>0</v>
      </c>
      <c r="DG202" s="53">
        <f t="shared" si="94"/>
        <v>40</v>
      </c>
      <c r="DH202" s="53">
        <f t="shared" si="94"/>
        <v>28</v>
      </c>
      <c r="DI202" s="53">
        <f t="shared" si="94"/>
        <v>19</v>
      </c>
      <c r="DJ202" s="53">
        <f t="shared" si="94"/>
        <v>0</v>
      </c>
      <c r="DK202" s="53">
        <f t="shared" si="94"/>
        <v>0</v>
      </c>
      <c r="DL202" s="53">
        <f t="shared" si="94"/>
        <v>0</v>
      </c>
      <c r="DM202" s="53">
        <f t="shared" si="94"/>
        <v>70</v>
      </c>
      <c r="DN202" s="53">
        <f t="shared" si="94"/>
        <v>0</v>
      </c>
      <c r="DO202" s="53">
        <f t="shared" si="94"/>
        <v>17</v>
      </c>
      <c r="DP202" s="53">
        <f t="shared" si="94"/>
        <v>0</v>
      </c>
      <c r="DQ202" s="53">
        <f t="shared" si="94"/>
        <v>0</v>
      </c>
      <c r="DR202" s="53">
        <f t="shared" si="94"/>
        <v>0</v>
      </c>
      <c r="DS202" s="53">
        <f t="shared" si="94"/>
        <v>0</v>
      </c>
      <c r="DT202" s="53">
        <f t="shared" si="94"/>
        <v>54</v>
      </c>
      <c r="DU202" s="53">
        <f t="shared" si="94"/>
        <v>2</v>
      </c>
      <c r="DV202" s="54">
        <f t="shared" si="87"/>
        <v>1430</v>
      </c>
      <c r="DW202" s="48"/>
    </row>
    <row r="203" spans="1:127" s="6" customFormat="1" ht="12" thickTop="1">
      <c r="A203" s="213" t="s">
        <v>89</v>
      </c>
      <c r="B203" s="24"/>
      <c r="C203" s="39">
        <f t="shared" ref="C203:R203" si="95">ROUND(IF(ISERROR(AVERAGE(C178:C201)),0,AVERAGE(C178:C201)),0)</f>
        <v>4</v>
      </c>
      <c r="D203" s="24">
        <f t="shared" si="95"/>
        <v>21</v>
      </c>
      <c r="E203" s="24">
        <f t="shared" si="95"/>
        <v>2</v>
      </c>
      <c r="F203" s="24">
        <f t="shared" si="95"/>
        <v>1</v>
      </c>
      <c r="G203" s="24">
        <f t="shared" si="95"/>
        <v>2</v>
      </c>
      <c r="H203" s="24">
        <f t="shared" si="95"/>
        <v>2</v>
      </c>
      <c r="I203" s="24">
        <f>ROUND(IF(ISERROR(AVERAGE(I178:I201)),0,AVERAGE(I178:I201)),0)</f>
        <v>0</v>
      </c>
      <c r="J203" s="24">
        <f t="shared" si="95"/>
        <v>4</v>
      </c>
      <c r="K203" s="24">
        <f t="shared" si="95"/>
        <v>0</v>
      </c>
      <c r="L203" s="24">
        <f t="shared" si="95"/>
        <v>0</v>
      </c>
      <c r="M203" s="24"/>
      <c r="N203" s="24"/>
      <c r="O203" s="24">
        <f>ROUND(IF(ISERROR(AVERAGE(O178:O201)),0,AVERAGE(O178:O201)),0)</f>
        <v>24</v>
      </c>
      <c r="P203" s="24">
        <f t="shared" si="95"/>
        <v>0</v>
      </c>
      <c r="Q203" s="24">
        <f t="shared" si="95"/>
        <v>0</v>
      </c>
      <c r="R203" s="24">
        <f t="shared" si="95"/>
        <v>0</v>
      </c>
      <c r="S203" s="31">
        <f>SUM(C203:R203)</f>
        <v>60</v>
      </c>
      <c r="T203" s="24">
        <f>ROUND(IF(ISERROR(AVERAGE(T178:T201)),0,AVERAGE(T178:T201)),0)</f>
        <v>10</v>
      </c>
      <c r="U203" s="24">
        <f>ROUND(IF(ISERROR(AVERAGE(U178:U201)),0,AVERAGE(U178:U201)),0)</f>
        <v>0</v>
      </c>
      <c r="V203" s="24">
        <f>ROUND(IF(ISERROR(AVERAGE(V178:V201)),0,AVERAGE(V178:V201)),0)</f>
        <v>0</v>
      </c>
      <c r="W203" s="24">
        <f>ROUND(IF(ISERROR(AVERAGE(W178:W201)),0,AVERAGE(W178:W201)),0)</f>
        <v>3</v>
      </c>
      <c r="X203" s="40">
        <f>ROUND(IF(ISERROR(AVERAGE(X178:X201)),0,AVERAGE(X178:X201)),0)</f>
        <v>0</v>
      </c>
      <c r="Z203" s="39">
        <f>ROUND(IF(ISERROR(AVERAGE(Z178:Z201)),0,AVERAGE(Z178:Z201)),0)</f>
        <v>0</v>
      </c>
      <c r="AA203" s="24">
        <f>ROUND(IF(ISERROR(AVERAGE(AA178:AA201)),0,AVERAGE(AA178:AA201)),0)</f>
        <v>1455665</v>
      </c>
      <c r="AB203" s="24"/>
      <c r="AC203" s="39">
        <f>ROUND(IF(ISERROR(AVERAGE(AC178:AC201)),0,AVERAGE(AC178:AC201)),0)</f>
        <v>0</v>
      </c>
      <c r="AD203" s="24">
        <f>ROUND(IF(ISERROR(AVERAGE(AD178:AD201)),0,AVERAGE(AD178:AD201)),0)</f>
        <v>0</v>
      </c>
      <c r="AE203" s="31">
        <f>SUM(AC203:AD203)</f>
        <v>0</v>
      </c>
      <c r="AG203" s="39">
        <f>ROUND(IF(ISERROR(AVERAGE(AG178:AG201)),0,AVERAGE(AG178:AG201)),0)</f>
        <v>92</v>
      </c>
      <c r="AH203" s="24">
        <f>ROUND(IF(ISERROR(AVERAGE(AH178:AH201)),0,AVERAGE(AH178:AH201)),0)</f>
        <v>22</v>
      </c>
      <c r="AI203" s="24">
        <f>ROUND(IF(ISERROR(AVERAGE(AI178:AI201)),0,AVERAGE(AI178:AI201)),0)</f>
        <v>140</v>
      </c>
      <c r="AJ203" s="40">
        <f>ROUND(IF(ISERROR(AVERAGE(AJ178:AJ201)),0,AVERAGE(AJ178:AJ201)),0)</f>
        <v>20</v>
      </c>
      <c r="AL203" s="39">
        <f>ROUND(IF(ISERROR(AVERAGE(AL178:AL201)),0,AVERAGE(AL178:AL201)),0)</f>
        <v>33</v>
      </c>
      <c r="AM203" s="24">
        <f>ROUND(IF(ISERROR(AVERAGE(AM178:AM201)),0,AVERAGE(AM178:AM201)),0)</f>
        <v>148</v>
      </c>
      <c r="AN203" s="31">
        <f>SUM(AL203:AM203)</f>
        <v>181</v>
      </c>
      <c r="AO203" s="24">
        <f>ROUND(IF(ISERROR(AVERAGE(AO178:AO201)),0,AVERAGE(AO178:AO201)),0)</f>
        <v>175</v>
      </c>
      <c r="AP203" s="24">
        <f>ROUND(IF(ISERROR(AVERAGE(AP178:AP201)),0,AVERAGE(AP178:AP201)),0)</f>
        <v>32</v>
      </c>
      <c r="AQ203" s="31">
        <f>SUM(AO203:AP203)</f>
        <v>207</v>
      </c>
      <c r="AR203" s="24">
        <f>ROUND(IF(ISERROR(AVERAGE(AR178:AR201)),0,AVERAGE(AR178:AR201)),0)</f>
        <v>0</v>
      </c>
      <c r="AS203" s="24">
        <f>ROUND(IF(ISERROR(AVERAGE(AS178:AS201)),0,AVERAGE(AS178:AS201)),0)</f>
        <v>0</v>
      </c>
      <c r="AT203" s="24">
        <f>ROUND(IF(ISERROR(AVERAGE(AT178:AT201)),0,AVERAGE(AT178:AT201)),0)</f>
        <v>0</v>
      </c>
      <c r="AU203" s="24">
        <f>ROUND(IF(ISERROR(AVERAGE(AU178:AU201)),0,AVERAGE(AU178:AU201)),0)</f>
        <v>0</v>
      </c>
      <c r="AV203" s="40">
        <f>ROUND(IF(ISERROR(AVERAGE(AV178:AV201)),0,AVERAGE(AV178:AV201)),0)</f>
        <v>0</v>
      </c>
      <c r="AX203" s="330"/>
      <c r="AY203" s="40"/>
      <c r="BA203" s="39">
        <f t="shared" ref="BA203:BM203" si="96">ROUND(IF(ISERROR(AVERAGE(BA178:BA201)),0,AVERAGE(BA178:BA201)),0)</f>
        <v>1549</v>
      </c>
      <c r="BB203" s="24">
        <f t="shared" si="96"/>
        <v>0</v>
      </c>
      <c r="BC203" s="24">
        <f t="shared" ref="BC203:BL203" si="97">ROUND(IF(ISERROR(AVERAGE(BC178:BC201)),0,AVERAGE(BC178:BC201)),0)</f>
        <v>18162688</v>
      </c>
      <c r="BD203" s="24">
        <f t="shared" si="97"/>
        <v>0</v>
      </c>
      <c r="BE203" s="24">
        <f t="shared" si="97"/>
        <v>86</v>
      </c>
      <c r="BF203" s="24">
        <f t="shared" si="97"/>
        <v>9</v>
      </c>
      <c r="BG203" s="24">
        <f t="shared" si="97"/>
        <v>4</v>
      </c>
      <c r="BH203" s="31"/>
      <c r="BI203" s="24">
        <f t="shared" si="97"/>
        <v>0</v>
      </c>
      <c r="BJ203" s="340"/>
      <c r="BK203" s="340"/>
      <c r="BL203" s="24">
        <f t="shared" si="97"/>
        <v>0</v>
      </c>
      <c r="BM203" s="40">
        <f t="shared" si="96"/>
        <v>3592</v>
      </c>
      <c r="BO203" s="39">
        <f>ROUND(IF(ISERROR(AVERAGE(BO178:BO201)),0,AVERAGE(BO178:BO201)),0)</f>
        <v>0</v>
      </c>
      <c r="BP203" s="40">
        <f>ROUND(IF(ISERROR(AVERAGE(BP178:BP201)),0,AVERAGE(BP178:BP201)),0)</f>
        <v>0</v>
      </c>
      <c r="BR203" s="65" t="s">
        <v>90</v>
      </c>
      <c r="BS203" s="19"/>
      <c r="BT203" s="14"/>
      <c r="BV203" s="39">
        <f>ROUND(IF(ISERROR(AVERAGE(BV178:BV201)),0,AVERAGE(BV178:BV201)),0)</f>
        <v>4</v>
      </c>
      <c r="BW203" s="24">
        <f>ROUND(IF(ISERROR(AVERAGE(BW178:BW201)),0,AVERAGE(BW178:BW201)),0)</f>
        <v>4</v>
      </c>
      <c r="BX203" s="24">
        <f t="shared" ref="BX203:DU203" si="98">ROUND(IF(ISERROR(AVERAGE(BX178:BX201)),0,AVERAGE(BX178:BX201)),0)</f>
        <v>0</v>
      </c>
      <c r="BY203" s="24">
        <f t="shared" si="98"/>
        <v>0</v>
      </c>
      <c r="BZ203" s="24">
        <f t="shared" si="98"/>
        <v>0</v>
      </c>
      <c r="CA203" s="24">
        <f t="shared" si="98"/>
        <v>0</v>
      </c>
      <c r="CB203" s="24">
        <f t="shared" si="98"/>
        <v>0</v>
      </c>
      <c r="CC203" s="24">
        <f t="shared" si="98"/>
        <v>0</v>
      </c>
      <c r="CD203" s="24">
        <f t="shared" si="98"/>
        <v>6</v>
      </c>
      <c r="CE203" s="24">
        <f t="shared" si="98"/>
        <v>0</v>
      </c>
      <c r="CF203" s="24">
        <f t="shared" si="98"/>
        <v>1</v>
      </c>
      <c r="CG203" s="24">
        <f t="shared" si="98"/>
        <v>1</v>
      </c>
      <c r="CH203" s="24">
        <f t="shared" si="98"/>
        <v>0</v>
      </c>
      <c r="CI203" s="24">
        <f t="shared" si="98"/>
        <v>2</v>
      </c>
      <c r="CJ203" s="24">
        <f t="shared" si="98"/>
        <v>7</v>
      </c>
      <c r="CK203" s="24">
        <f t="shared" si="98"/>
        <v>0</v>
      </c>
      <c r="CL203" s="24">
        <f t="shared" si="98"/>
        <v>0</v>
      </c>
      <c r="CM203" s="24">
        <f t="shared" si="98"/>
        <v>0</v>
      </c>
      <c r="CN203" s="24">
        <f t="shared" si="98"/>
        <v>0</v>
      </c>
      <c r="CO203" s="24">
        <f t="shared" si="98"/>
        <v>5</v>
      </c>
      <c r="CP203" s="24">
        <f t="shared" si="98"/>
        <v>0</v>
      </c>
      <c r="CQ203" s="24">
        <f t="shared" si="98"/>
        <v>0</v>
      </c>
      <c r="CR203" s="24">
        <f t="shared" si="98"/>
        <v>0</v>
      </c>
      <c r="CS203" s="24">
        <f t="shared" si="98"/>
        <v>2</v>
      </c>
      <c r="CT203" s="24">
        <f t="shared" si="98"/>
        <v>6</v>
      </c>
      <c r="CU203" s="24">
        <f t="shared" si="98"/>
        <v>6</v>
      </c>
      <c r="CV203" s="24">
        <f t="shared" si="98"/>
        <v>2</v>
      </c>
      <c r="CW203" s="24">
        <f t="shared" si="98"/>
        <v>0</v>
      </c>
      <c r="CX203" s="24">
        <f t="shared" si="98"/>
        <v>0</v>
      </c>
      <c r="CY203" s="24">
        <f t="shared" si="98"/>
        <v>0</v>
      </c>
      <c r="CZ203" s="24">
        <f t="shared" si="98"/>
        <v>0</v>
      </c>
      <c r="DA203" s="24">
        <f t="shared" si="98"/>
        <v>0</v>
      </c>
      <c r="DB203" s="24">
        <f t="shared" si="98"/>
        <v>6</v>
      </c>
      <c r="DC203" s="24">
        <f t="shared" si="98"/>
        <v>0</v>
      </c>
      <c r="DD203" s="24">
        <f t="shared" si="98"/>
        <v>0</v>
      </c>
      <c r="DE203" s="24">
        <f t="shared" si="98"/>
        <v>0</v>
      </c>
      <c r="DF203" s="24">
        <f t="shared" si="98"/>
        <v>0</v>
      </c>
      <c r="DG203" s="24">
        <f t="shared" si="98"/>
        <v>2</v>
      </c>
      <c r="DH203" s="24">
        <f t="shared" si="98"/>
        <v>1</v>
      </c>
      <c r="DI203" s="24">
        <f t="shared" si="98"/>
        <v>1</v>
      </c>
      <c r="DJ203" s="24">
        <f t="shared" si="98"/>
        <v>0</v>
      </c>
      <c r="DK203" s="24">
        <f t="shared" si="98"/>
        <v>0</v>
      </c>
      <c r="DL203" s="24">
        <f t="shared" si="98"/>
        <v>0</v>
      </c>
      <c r="DM203" s="24">
        <f t="shared" si="98"/>
        <v>3</v>
      </c>
      <c r="DN203" s="24">
        <f t="shared" si="98"/>
        <v>0</v>
      </c>
      <c r="DO203" s="24">
        <f t="shared" si="98"/>
        <v>1</v>
      </c>
      <c r="DP203" s="24">
        <f t="shared" si="98"/>
        <v>0</v>
      </c>
      <c r="DQ203" s="24">
        <f t="shared" si="98"/>
        <v>0</v>
      </c>
      <c r="DR203" s="24">
        <f t="shared" si="98"/>
        <v>0</v>
      </c>
      <c r="DS203" s="24">
        <f t="shared" si="98"/>
        <v>0</v>
      </c>
      <c r="DT203" s="24">
        <f t="shared" si="98"/>
        <v>2</v>
      </c>
      <c r="DU203" s="24">
        <f t="shared" si="98"/>
        <v>0</v>
      </c>
      <c r="DV203" s="18"/>
      <c r="DW203" s="48"/>
    </row>
    <row r="204" spans="1:127" customFormat="1">
      <c r="A204" s="210" t="s">
        <v>91</v>
      </c>
      <c r="B204" s="211"/>
      <c r="C204" s="8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30">
        <f>MEDIAN(S178:S201)</f>
        <v>55</v>
      </c>
      <c r="T204" s="10"/>
      <c r="U204" s="10"/>
      <c r="V204" s="10"/>
      <c r="W204" s="10"/>
      <c r="X204" s="5"/>
      <c r="Y204" s="10"/>
      <c r="Z204" s="8"/>
      <c r="AA204" s="10">
        <f>IF(ISERROR(MEDIAN(AA178:AA201)),"",MEDIAN(AA178:AA201))</f>
        <v>1153027</v>
      </c>
      <c r="AB204" s="10"/>
      <c r="AC204" s="8"/>
      <c r="AD204" s="10"/>
      <c r="AE204" s="30"/>
      <c r="AF204" s="10"/>
      <c r="AG204" s="8"/>
      <c r="AH204" s="10"/>
      <c r="AI204" s="10">
        <f>IF(ISERROR(MEDIAN(AI178:AI201)),"",MEDIAN(AI178:AI201))</f>
        <v>143</v>
      </c>
      <c r="AJ204" s="5">
        <f>IF(ISERROR(MEDIAN(AJ178:AJ201)),"",MEDIAN(AJ178:AJ201))</f>
        <v>20</v>
      </c>
      <c r="AK204" s="10"/>
      <c r="AL204" s="8"/>
      <c r="AM204" s="10"/>
      <c r="AN204" s="30"/>
      <c r="AO204" s="10"/>
      <c r="AP204" s="10"/>
      <c r="AQ204" s="30"/>
      <c r="AR204" s="10"/>
      <c r="AS204" s="10"/>
      <c r="AT204" s="10"/>
      <c r="AU204" s="10"/>
      <c r="AV204" s="5"/>
      <c r="AW204" s="10"/>
      <c r="AX204" s="326"/>
      <c r="AY204" s="5"/>
      <c r="AZ204" s="10"/>
      <c r="BA204" s="8">
        <f>IF(ISERROR(MEDIAN(BA178:BA201)),"",MEDIAN(BA178:BA201))</f>
        <v>1548.5</v>
      </c>
      <c r="BB204" s="10"/>
      <c r="BC204" s="10"/>
      <c r="BD204" s="10"/>
      <c r="BE204" s="10"/>
      <c r="BF204" s="10"/>
      <c r="BG204" s="10"/>
      <c r="BH204" s="30"/>
      <c r="BI204" s="10"/>
      <c r="BJ204" s="338"/>
      <c r="BK204" s="338"/>
      <c r="BL204" s="303"/>
      <c r="BM204" s="5"/>
      <c r="BN204" s="10"/>
      <c r="BO204" s="8"/>
      <c r="BP204" s="5"/>
      <c r="BQ204" s="10"/>
      <c r="BR204" s="65"/>
      <c r="BS204" s="19"/>
      <c r="BT204" s="14"/>
      <c r="BU204" s="10"/>
      <c r="BV204" s="8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5"/>
      <c r="DW204" s="21"/>
    </row>
    <row r="205" spans="1:127" customFormat="1" ht="12" thickBot="1">
      <c r="A205" s="214" t="s">
        <v>92</v>
      </c>
      <c r="B205" s="195"/>
      <c r="C205" s="41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32">
        <f>MODE(S178:S201)</f>
        <v>57</v>
      </c>
      <c r="T205" s="22"/>
      <c r="U205" s="22"/>
      <c r="V205" s="22"/>
      <c r="W205" s="22"/>
      <c r="X205" s="42"/>
      <c r="Y205" s="22"/>
      <c r="Z205" s="41"/>
      <c r="AA205" s="22"/>
      <c r="AB205" s="22"/>
      <c r="AC205" s="41"/>
      <c r="AD205" s="22"/>
      <c r="AE205" s="32"/>
      <c r="AF205" s="22"/>
      <c r="AG205" s="41"/>
      <c r="AH205" s="22"/>
      <c r="AI205" s="22">
        <f>IF(ISERROR(MODE(AI178:AI201)),"",MODE(AI178:AI201))</f>
        <v>170</v>
      </c>
      <c r="AJ205" s="42">
        <f>IF(ISERROR(MODE(AJ178:AJ201)),"",MODE(AJ178:AJ201))</f>
        <v>20</v>
      </c>
      <c r="AK205" s="22"/>
      <c r="AL205" s="41"/>
      <c r="AM205" s="22"/>
      <c r="AN205" s="32"/>
      <c r="AO205" s="22"/>
      <c r="AP205" s="22"/>
      <c r="AQ205" s="32"/>
      <c r="AR205" s="22"/>
      <c r="AS205" s="22"/>
      <c r="AT205" s="22"/>
      <c r="AU205" s="22"/>
      <c r="AV205" s="42"/>
      <c r="AW205" s="22"/>
      <c r="AX205" s="331"/>
      <c r="AY205" s="42"/>
      <c r="AZ205" s="22"/>
      <c r="BA205" s="41"/>
      <c r="BB205" s="22"/>
      <c r="BC205" s="22"/>
      <c r="BD205" s="22"/>
      <c r="BE205" s="22"/>
      <c r="BF205" s="22"/>
      <c r="BG205" s="22"/>
      <c r="BH205" s="32"/>
      <c r="BI205" s="22"/>
      <c r="BJ205" s="341"/>
      <c r="BK205" s="341"/>
      <c r="BL205" s="306"/>
      <c r="BM205" s="42"/>
      <c r="BN205" s="22"/>
      <c r="BO205" s="41"/>
      <c r="BP205" s="42"/>
      <c r="BQ205" s="22"/>
      <c r="BR205" s="66"/>
      <c r="BS205" s="51"/>
      <c r="BT205" s="67"/>
      <c r="BU205" s="22"/>
      <c r="BV205" s="41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42"/>
      <c r="DW205" s="23"/>
    </row>
    <row r="206" spans="1:127" customFormat="1" ht="12" thickBot="1">
      <c r="A206" s="194"/>
      <c r="B206" s="194"/>
      <c r="C206" s="8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30"/>
      <c r="T206" s="10"/>
      <c r="U206" s="10"/>
      <c r="V206" s="10"/>
      <c r="W206" s="10"/>
      <c r="X206" s="5"/>
      <c r="Z206" s="8"/>
      <c r="AA206" s="10"/>
      <c r="AB206" s="10"/>
      <c r="AC206" s="8"/>
      <c r="AD206" s="10"/>
      <c r="AE206" s="30"/>
      <c r="AG206" s="8"/>
      <c r="AH206" s="10"/>
      <c r="AI206" s="10"/>
      <c r="AJ206" s="5"/>
      <c r="AL206" s="8"/>
      <c r="AM206" s="10"/>
      <c r="AN206" s="30"/>
      <c r="AO206" s="10"/>
      <c r="AP206" s="10"/>
      <c r="AQ206" s="30"/>
      <c r="AR206" s="10"/>
      <c r="AS206" s="10"/>
      <c r="AT206" s="10"/>
      <c r="AU206" s="10"/>
      <c r="AV206" s="5"/>
      <c r="AX206" s="326"/>
      <c r="AY206" s="5"/>
      <c r="AZ206" s="324"/>
      <c r="BA206" s="8"/>
      <c r="BB206" s="10"/>
      <c r="BC206" s="10"/>
      <c r="BD206" s="10"/>
      <c r="BE206" s="10"/>
      <c r="BF206" s="10"/>
      <c r="BG206" s="10"/>
      <c r="BH206" s="30"/>
      <c r="BI206" s="10"/>
      <c r="BJ206" s="338"/>
      <c r="BK206" s="338"/>
      <c r="BL206" s="303"/>
      <c r="BM206" s="5"/>
      <c r="BO206" s="8"/>
      <c r="BP206" s="5"/>
      <c r="BR206" s="65"/>
      <c r="BS206" s="19"/>
      <c r="BT206" s="14"/>
      <c r="BV206" s="8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5"/>
    </row>
    <row r="207" spans="1:127" customFormat="1">
      <c r="A207" s="208">
        <v>34516</v>
      </c>
      <c r="B207" s="209"/>
      <c r="C207" s="36">
        <v>3</v>
      </c>
      <c r="D207" s="9">
        <v>10</v>
      </c>
      <c r="E207" s="9">
        <v>1</v>
      </c>
      <c r="F207" s="9">
        <v>0</v>
      </c>
      <c r="G207" s="9">
        <v>3</v>
      </c>
      <c r="H207" s="9">
        <v>1</v>
      </c>
      <c r="I207" s="9">
        <v>0</v>
      </c>
      <c r="J207" s="9">
        <v>5</v>
      </c>
      <c r="K207" s="9">
        <v>0</v>
      </c>
      <c r="L207" s="9">
        <v>0</v>
      </c>
      <c r="M207" s="9"/>
      <c r="N207" s="9"/>
      <c r="O207" s="9">
        <v>5</v>
      </c>
      <c r="P207" s="9">
        <v>0</v>
      </c>
      <c r="Q207" s="9">
        <v>0</v>
      </c>
      <c r="R207" s="9">
        <v>0</v>
      </c>
      <c r="S207" s="33">
        <f t="shared" ref="S207:S219" si="99">SUM(C207:R207)</f>
        <v>28</v>
      </c>
      <c r="T207" s="9">
        <v>0</v>
      </c>
      <c r="U207" s="9"/>
      <c r="V207" s="9"/>
      <c r="W207" s="9">
        <v>0</v>
      </c>
      <c r="X207" s="37">
        <v>0</v>
      </c>
      <c r="Y207" s="9"/>
      <c r="Z207" s="36"/>
      <c r="AA207" s="9">
        <v>665062</v>
      </c>
      <c r="AB207" s="9"/>
      <c r="AC207" s="36"/>
      <c r="AD207" s="9"/>
      <c r="AE207" s="33"/>
      <c r="AF207" s="9"/>
      <c r="AG207" s="36">
        <v>101</v>
      </c>
      <c r="AH207" s="9">
        <v>40</v>
      </c>
      <c r="AI207" s="9">
        <v>156</v>
      </c>
      <c r="AJ207" s="37">
        <v>20</v>
      </c>
      <c r="AK207" s="9"/>
      <c r="AL207" s="36"/>
      <c r="AM207" s="9"/>
      <c r="AN207" s="33"/>
      <c r="AO207" s="9"/>
      <c r="AP207" s="9"/>
      <c r="AQ207" s="33"/>
      <c r="AR207" s="92"/>
      <c r="AS207" s="92"/>
      <c r="AT207" s="92"/>
      <c r="AU207" s="92"/>
      <c r="AV207" s="93"/>
      <c r="AW207" s="9"/>
      <c r="AX207" s="325"/>
      <c r="AY207" s="37"/>
      <c r="AZ207" s="9"/>
      <c r="BA207" s="36">
        <v>1580</v>
      </c>
      <c r="BB207" s="9"/>
      <c r="BC207" s="9">
        <v>18294784</v>
      </c>
      <c r="BD207" s="9"/>
      <c r="BE207" s="9">
        <v>58</v>
      </c>
      <c r="BF207" s="9">
        <v>7</v>
      </c>
      <c r="BG207" s="9">
        <v>3</v>
      </c>
      <c r="BH207" s="350"/>
      <c r="BI207" s="9"/>
      <c r="BJ207" s="337"/>
      <c r="BK207" s="337"/>
      <c r="BL207" s="302"/>
      <c r="BM207" s="37"/>
      <c r="BN207" s="9"/>
      <c r="BO207" s="36"/>
      <c r="BP207" s="37"/>
      <c r="BQ207" s="9"/>
      <c r="BR207" s="74">
        <v>1995</v>
      </c>
      <c r="BS207" s="75">
        <v>1994</v>
      </c>
      <c r="BT207" s="13">
        <v>13</v>
      </c>
      <c r="BU207" s="9"/>
      <c r="BV207" s="36">
        <v>0</v>
      </c>
      <c r="BW207" s="9">
        <v>2</v>
      </c>
      <c r="BX207" s="9"/>
      <c r="BY207" s="9"/>
      <c r="BZ207" s="9"/>
      <c r="CA207" s="9"/>
      <c r="CB207" s="9"/>
      <c r="CC207" s="223"/>
      <c r="CD207" s="9">
        <v>9</v>
      </c>
      <c r="CE207" s="220"/>
      <c r="CF207" s="9">
        <v>0</v>
      </c>
      <c r="CG207" s="9">
        <v>0</v>
      </c>
      <c r="CH207" s="9"/>
      <c r="CI207" s="9">
        <v>1</v>
      </c>
      <c r="CJ207" s="9">
        <v>5</v>
      </c>
      <c r="CK207" s="9"/>
      <c r="CL207" s="9"/>
      <c r="CM207" s="9">
        <v>0</v>
      </c>
      <c r="CN207" s="9"/>
      <c r="CO207" s="9">
        <v>0</v>
      </c>
      <c r="CP207" s="220"/>
      <c r="CQ207" s="9"/>
      <c r="CR207" s="9"/>
      <c r="CS207" s="9">
        <v>0</v>
      </c>
      <c r="CT207" s="9">
        <v>3</v>
      </c>
      <c r="CU207" s="9">
        <v>0</v>
      </c>
      <c r="CV207" s="9">
        <v>1</v>
      </c>
      <c r="CW207" s="9"/>
      <c r="CX207" s="9"/>
      <c r="CY207" s="9">
        <v>0</v>
      </c>
      <c r="CZ207" s="9"/>
      <c r="DA207" s="9"/>
      <c r="DB207" s="9">
        <v>4</v>
      </c>
      <c r="DC207" s="9"/>
      <c r="DD207" s="9"/>
      <c r="DE207" s="9"/>
      <c r="DF207" s="9"/>
      <c r="DG207" s="9">
        <v>0</v>
      </c>
      <c r="DH207" s="9">
        <v>2</v>
      </c>
      <c r="DI207" s="9">
        <v>0</v>
      </c>
      <c r="DJ207" s="9">
        <v>0</v>
      </c>
      <c r="DK207" s="9"/>
      <c r="DL207" s="9"/>
      <c r="DM207" s="9">
        <v>0</v>
      </c>
      <c r="DN207" s="9"/>
      <c r="DO207" s="9">
        <v>0</v>
      </c>
      <c r="DP207" s="9"/>
      <c r="DQ207" s="9"/>
      <c r="DR207" s="9"/>
      <c r="DS207" s="9">
        <v>0</v>
      </c>
      <c r="DT207" s="9">
        <v>1</v>
      </c>
      <c r="DU207" s="9">
        <v>0</v>
      </c>
      <c r="DV207" s="44">
        <f t="shared" ref="DV207:DV231" si="100">SUM(BV207:DU207)</f>
        <v>28</v>
      </c>
      <c r="DW207" s="13" t="str">
        <f t="shared" ref="DW207:DW230" si="101">IF(DV207=S207,"","PROB")</f>
        <v/>
      </c>
    </row>
    <row r="208" spans="1:127" customFormat="1">
      <c r="A208" s="210">
        <v>34530</v>
      </c>
      <c r="B208" s="211"/>
      <c r="C208" s="8">
        <v>2</v>
      </c>
      <c r="D208" s="10">
        <v>12</v>
      </c>
      <c r="E208" s="10">
        <v>3</v>
      </c>
      <c r="F208" s="10">
        <v>0</v>
      </c>
      <c r="G208" s="10">
        <v>2</v>
      </c>
      <c r="H208" s="10">
        <v>0</v>
      </c>
      <c r="I208" s="10">
        <v>0</v>
      </c>
      <c r="J208" s="10">
        <v>2</v>
      </c>
      <c r="K208" s="59">
        <v>0</v>
      </c>
      <c r="L208" s="59">
        <v>0</v>
      </c>
      <c r="M208" s="59"/>
      <c r="N208" s="59"/>
      <c r="O208" s="10">
        <v>49</v>
      </c>
      <c r="P208" s="10">
        <v>0</v>
      </c>
      <c r="Q208" s="10">
        <v>0</v>
      </c>
      <c r="R208" s="10">
        <v>0</v>
      </c>
      <c r="S208" s="35">
        <f t="shared" si="99"/>
        <v>70</v>
      </c>
      <c r="T208" s="10">
        <v>5</v>
      </c>
      <c r="U208" s="10"/>
      <c r="V208" s="10"/>
      <c r="W208" s="10">
        <v>0</v>
      </c>
      <c r="X208" s="5">
        <v>0</v>
      </c>
      <c r="Y208" s="10"/>
      <c r="Z208" s="8"/>
      <c r="AA208" s="10">
        <v>1384052</v>
      </c>
      <c r="AB208" s="10"/>
      <c r="AC208" s="8"/>
      <c r="AD208" s="10"/>
      <c r="AE208" s="35"/>
      <c r="AF208" s="10"/>
      <c r="AG208" s="8">
        <v>69</v>
      </c>
      <c r="AH208" s="10">
        <v>44</v>
      </c>
      <c r="AI208" s="10">
        <v>132</v>
      </c>
      <c r="AJ208" s="5">
        <v>20</v>
      </c>
      <c r="AK208" s="10"/>
      <c r="AL208" s="8"/>
      <c r="AM208" s="10"/>
      <c r="AN208" s="35"/>
      <c r="AO208" s="10"/>
      <c r="AP208" s="10"/>
      <c r="AQ208" s="35"/>
      <c r="AR208" s="59"/>
      <c r="AS208" s="59"/>
      <c r="AT208" s="59"/>
      <c r="AU208" s="59"/>
      <c r="AV208" s="62"/>
      <c r="AW208" s="10"/>
      <c r="AX208" s="326"/>
      <c r="AY208" s="5"/>
      <c r="AZ208" s="10"/>
      <c r="BA208" s="8"/>
      <c r="BB208" s="10"/>
      <c r="BC208" s="10"/>
      <c r="BD208" s="10"/>
      <c r="BE208" s="10"/>
      <c r="BF208" s="10"/>
      <c r="BG208" s="10"/>
      <c r="BH208" s="30"/>
      <c r="BI208" s="10"/>
      <c r="BJ208" s="338"/>
      <c r="BK208" s="338"/>
      <c r="BL208" s="303"/>
      <c r="BM208" s="5"/>
      <c r="BN208" s="10"/>
      <c r="BO208" s="8"/>
      <c r="BP208" s="5"/>
      <c r="BQ208" s="10"/>
      <c r="BR208" s="29">
        <v>1995</v>
      </c>
      <c r="BS208" s="64">
        <v>1994</v>
      </c>
      <c r="BT208" s="14">
        <v>14</v>
      </c>
      <c r="BU208" s="10"/>
      <c r="BV208" s="8">
        <v>1</v>
      </c>
      <c r="BW208" s="10">
        <v>1</v>
      </c>
      <c r="BX208" s="10"/>
      <c r="BY208" s="10"/>
      <c r="BZ208" s="10"/>
      <c r="CA208" s="10"/>
      <c r="CB208" s="10"/>
      <c r="CC208" s="221"/>
      <c r="CD208" s="10">
        <v>7</v>
      </c>
      <c r="CE208" s="317"/>
      <c r="CF208" s="10">
        <v>6</v>
      </c>
      <c r="CG208" s="10">
        <v>0</v>
      </c>
      <c r="CH208" s="10"/>
      <c r="CI208" s="10">
        <v>0</v>
      </c>
      <c r="CJ208" s="10">
        <v>1</v>
      </c>
      <c r="CK208" s="10"/>
      <c r="CL208" s="10"/>
      <c r="CM208" s="10">
        <v>0</v>
      </c>
      <c r="CN208" s="10"/>
      <c r="CO208" s="10">
        <v>0</v>
      </c>
      <c r="CP208" s="317"/>
      <c r="CQ208" s="10"/>
      <c r="CR208" s="10"/>
      <c r="CS208" s="10">
        <v>0</v>
      </c>
      <c r="CT208" s="10">
        <v>0</v>
      </c>
      <c r="CU208" s="10">
        <v>0</v>
      </c>
      <c r="CV208" s="10">
        <v>2</v>
      </c>
      <c r="CW208" s="10"/>
      <c r="CX208" s="10"/>
      <c r="CY208" s="59">
        <v>0</v>
      </c>
      <c r="CZ208" s="59"/>
      <c r="DA208" s="59"/>
      <c r="DB208" s="10">
        <v>51</v>
      </c>
      <c r="DC208" s="10"/>
      <c r="DD208" s="10"/>
      <c r="DE208" s="10"/>
      <c r="DF208" s="10"/>
      <c r="DG208" s="10">
        <v>0</v>
      </c>
      <c r="DH208" s="10">
        <v>0</v>
      </c>
      <c r="DI208" s="10">
        <v>0</v>
      </c>
      <c r="DJ208" s="59">
        <v>0</v>
      </c>
      <c r="DK208" s="59"/>
      <c r="DL208" s="59"/>
      <c r="DM208" s="10">
        <v>0</v>
      </c>
      <c r="DN208" s="10"/>
      <c r="DO208" s="10">
        <v>0</v>
      </c>
      <c r="DP208" s="10"/>
      <c r="DQ208" s="10"/>
      <c r="DR208" s="10"/>
      <c r="DS208" s="59">
        <v>0</v>
      </c>
      <c r="DT208" s="10">
        <v>1</v>
      </c>
      <c r="DU208" s="10">
        <v>0</v>
      </c>
      <c r="DV208" s="38">
        <f t="shared" si="100"/>
        <v>70</v>
      </c>
      <c r="DW208" s="14" t="str">
        <f t="shared" si="101"/>
        <v/>
      </c>
    </row>
    <row r="209" spans="1:127" customFormat="1">
      <c r="A209" s="210">
        <v>34547</v>
      </c>
      <c r="B209" s="211"/>
      <c r="C209" s="8">
        <v>6</v>
      </c>
      <c r="D209" s="10">
        <v>13</v>
      </c>
      <c r="E209" s="10">
        <v>3</v>
      </c>
      <c r="F209" s="10">
        <v>0</v>
      </c>
      <c r="G209" s="10">
        <v>4</v>
      </c>
      <c r="H209" s="10">
        <v>2</v>
      </c>
      <c r="I209" s="10">
        <v>0</v>
      </c>
      <c r="J209" s="10">
        <v>0</v>
      </c>
      <c r="K209" s="59">
        <v>0</v>
      </c>
      <c r="L209" s="59">
        <v>0</v>
      </c>
      <c r="M209" s="59"/>
      <c r="N209" s="59"/>
      <c r="O209" s="10">
        <v>17</v>
      </c>
      <c r="P209" s="10">
        <v>0</v>
      </c>
      <c r="Q209" s="10">
        <v>0</v>
      </c>
      <c r="R209" s="10">
        <v>2</v>
      </c>
      <c r="S209" s="35">
        <f t="shared" si="99"/>
        <v>47</v>
      </c>
      <c r="T209" s="10">
        <v>17</v>
      </c>
      <c r="U209" s="10"/>
      <c r="V209" s="10"/>
      <c r="W209" s="10">
        <v>5</v>
      </c>
      <c r="X209" s="5">
        <v>0</v>
      </c>
      <c r="Y209" s="10"/>
      <c r="Z209" s="8"/>
      <c r="AA209" s="10">
        <v>1476339</v>
      </c>
      <c r="AB209" s="10"/>
      <c r="AC209" s="8"/>
      <c r="AD209" s="10"/>
      <c r="AE209" s="35"/>
      <c r="AF209" s="10"/>
      <c r="AG209" s="8">
        <v>100</v>
      </c>
      <c r="AH209" s="10">
        <v>45</v>
      </c>
      <c r="AI209" s="10">
        <v>162</v>
      </c>
      <c r="AJ209" s="5">
        <v>24</v>
      </c>
      <c r="AK209" s="10"/>
      <c r="AL209" s="8"/>
      <c r="AM209" s="10"/>
      <c r="AN209" s="35"/>
      <c r="AO209" s="10"/>
      <c r="AP209" s="10"/>
      <c r="AQ209" s="35"/>
      <c r="AR209" s="59"/>
      <c r="AS209" s="59"/>
      <c r="AT209" s="59"/>
      <c r="AU209" s="59"/>
      <c r="AV209" s="62"/>
      <c r="AW209" s="10"/>
      <c r="AX209" s="326"/>
      <c r="AY209" s="5"/>
      <c r="AZ209" s="10"/>
      <c r="BA209" s="8">
        <v>1596</v>
      </c>
      <c r="BB209" s="10"/>
      <c r="BC209" s="10"/>
      <c r="BD209" s="10"/>
      <c r="BE209" s="10">
        <v>37</v>
      </c>
      <c r="BF209" s="10">
        <v>24</v>
      </c>
      <c r="BG209" s="10">
        <v>7</v>
      </c>
      <c r="BH209" s="30"/>
      <c r="BI209" s="10"/>
      <c r="BJ209" s="338"/>
      <c r="BK209" s="338"/>
      <c r="BL209" s="303"/>
      <c r="BM209" s="5"/>
      <c r="BN209" s="10"/>
      <c r="BO209" s="8"/>
      <c r="BP209" s="5"/>
      <c r="BQ209" s="10"/>
      <c r="BR209" s="29">
        <v>1995</v>
      </c>
      <c r="BS209" s="64">
        <v>1994</v>
      </c>
      <c r="BT209" s="14">
        <v>15</v>
      </c>
      <c r="BU209" s="10"/>
      <c r="BV209" s="8">
        <v>17</v>
      </c>
      <c r="BW209" s="10">
        <v>1</v>
      </c>
      <c r="BX209" s="10"/>
      <c r="BY209" s="10"/>
      <c r="BZ209" s="10"/>
      <c r="CA209" s="10"/>
      <c r="CB209" s="10"/>
      <c r="CC209" s="221"/>
      <c r="CD209" s="10">
        <v>8</v>
      </c>
      <c r="CE209" s="317"/>
      <c r="CF209" s="10">
        <v>0</v>
      </c>
      <c r="CG209" s="10">
        <v>0</v>
      </c>
      <c r="CH209" s="10"/>
      <c r="CI209" s="10">
        <v>0</v>
      </c>
      <c r="CJ209" s="10">
        <v>3</v>
      </c>
      <c r="CK209" s="10"/>
      <c r="CL209" s="10"/>
      <c r="CM209" s="10">
        <v>0</v>
      </c>
      <c r="CN209" s="10"/>
      <c r="CO209" s="10">
        <v>2</v>
      </c>
      <c r="CP209" s="317"/>
      <c r="CQ209" s="10"/>
      <c r="CR209" s="10"/>
      <c r="CS209" s="10">
        <v>0</v>
      </c>
      <c r="CT209" s="10">
        <v>1</v>
      </c>
      <c r="CU209" s="10">
        <v>0</v>
      </c>
      <c r="CV209" s="10">
        <v>0</v>
      </c>
      <c r="CW209" s="10"/>
      <c r="CX209" s="10"/>
      <c r="CY209" s="59">
        <v>0</v>
      </c>
      <c r="CZ209" s="59"/>
      <c r="DA209" s="59"/>
      <c r="DB209" s="10">
        <v>4</v>
      </c>
      <c r="DC209" s="10"/>
      <c r="DD209" s="10"/>
      <c r="DE209" s="10"/>
      <c r="DF209" s="10"/>
      <c r="DG209" s="10">
        <v>2</v>
      </c>
      <c r="DH209" s="10">
        <v>0</v>
      </c>
      <c r="DI209" s="10">
        <v>5</v>
      </c>
      <c r="DJ209" s="59">
        <v>0</v>
      </c>
      <c r="DK209" s="59"/>
      <c r="DL209" s="59"/>
      <c r="DM209" s="10">
        <v>0</v>
      </c>
      <c r="DN209" s="10"/>
      <c r="DO209" s="10">
        <v>2</v>
      </c>
      <c r="DP209" s="10"/>
      <c r="DQ209" s="10"/>
      <c r="DR209" s="10"/>
      <c r="DS209" s="59">
        <v>0</v>
      </c>
      <c r="DT209" s="10">
        <v>0</v>
      </c>
      <c r="DU209" s="10">
        <v>2</v>
      </c>
      <c r="DV209" s="38">
        <f t="shared" si="100"/>
        <v>47</v>
      </c>
      <c r="DW209" s="14" t="str">
        <f t="shared" si="101"/>
        <v/>
      </c>
    </row>
    <row r="210" spans="1:127" customFormat="1">
      <c r="A210" s="210">
        <v>34561</v>
      </c>
      <c r="B210" s="211"/>
      <c r="C210" s="8">
        <v>2</v>
      </c>
      <c r="D210" s="10">
        <v>14</v>
      </c>
      <c r="E210" s="10">
        <v>0</v>
      </c>
      <c r="F210" s="10">
        <v>0</v>
      </c>
      <c r="G210" s="10">
        <v>0</v>
      </c>
      <c r="H210" s="10">
        <v>2</v>
      </c>
      <c r="I210" s="10">
        <v>0</v>
      </c>
      <c r="J210" s="10">
        <v>0</v>
      </c>
      <c r="K210" s="59">
        <v>0</v>
      </c>
      <c r="L210" s="59">
        <v>0</v>
      </c>
      <c r="M210" s="59"/>
      <c r="N210" s="59"/>
      <c r="O210" s="10">
        <v>9</v>
      </c>
      <c r="P210" s="10">
        <v>0</v>
      </c>
      <c r="Q210" s="10">
        <v>0</v>
      </c>
      <c r="R210" s="10">
        <v>0</v>
      </c>
      <c r="S210" s="35">
        <f t="shared" si="99"/>
        <v>27</v>
      </c>
      <c r="T210" s="10">
        <v>2</v>
      </c>
      <c r="U210" s="10"/>
      <c r="V210" s="10"/>
      <c r="W210" s="10">
        <v>0</v>
      </c>
      <c r="X210" s="5">
        <v>1</v>
      </c>
      <c r="Y210" s="10"/>
      <c r="Z210" s="8"/>
      <c r="AA210" s="10">
        <v>580687</v>
      </c>
      <c r="AB210" s="10"/>
      <c r="AC210" s="8"/>
      <c r="AD210" s="10"/>
      <c r="AE210" s="35"/>
      <c r="AF210" s="10"/>
      <c r="AG210" s="8">
        <v>73</v>
      </c>
      <c r="AH210" s="10">
        <v>49</v>
      </c>
      <c r="AI210" s="10">
        <v>150</v>
      </c>
      <c r="AJ210" s="5">
        <v>20</v>
      </c>
      <c r="AK210" s="10"/>
      <c r="AL210" s="8"/>
      <c r="AM210" s="10"/>
      <c r="AN210" s="35"/>
      <c r="AO210" s="10"/>
      <c r="AP210" s="10"/>
      <c r="AQ210" s="35"/>
      <c r="AR210" s="59"/>
      <c r="AS210" s="59"/>
      <c r="AT210" s="59"/>
      <c r="AU210" s="59"/>
      <c r="AV210" s="62"/>
      <c r="AW210" s="10"/>
      <c r="AX210" s="326"/>
      <c r="AY210" s="5"/>
      <c r="AZ210" s="10"/>
      <c r="BA210" s="8"/>
      <c r="BB210" s="10"/>
      <c r="BC210" s="10"/>
      <c r="BD210" s="10"/>
      <c r="BE210" s="10"/>
      <c r="BF210" s="10"/>
      <c r="BG210" s="10"/>
      <c r="BH210" s="30"/>
      <c r="BI210" s="10"/>
      <c r="BJ210" s="338"/>
      <c r="BK210" s="338"/>
      <c r="BL210" s="303"/>
      <c r="BM210" s="5"/>
      <c r="BN210" s="10"/>
      <c r="BO210" s="8"/>
      <c r="BP210" s="5"/>
      <c r="BQ210" s="10"/>
      <c r="BR210" s="29">
        <v>1995</v>
      </c>
      <c r="BS210" s="64">
        <v>1994</v>
      </c>
      <c r="BT210" s="14">
        <v>16</v>
      </c>
      <c r="BU210" s="10"/>
      <c r="BV210" s="8">
        <v>2</v>
      </c>
      <c r="BW210" s="10">
        <v>0</v>
      </c>
      <c r="BX210" s="10"/>
      <c r="BY210" s="10"/>
      <c r="BZ210" s="10"/>
      <c r="CA210" s="10"/>
      <c r="CB210" s="10"/>
      <c r="CC210" s="221"/>
      <c r="CD210" s="10">
        <v>4</v>
      </c>
      <c r="CE210" s="317"/>
      <c r="CF210" s="10">
        <v>0</v>
      </c>
      <c r="CG210" s="10">
        <v>0</v>
      </c>
      <c r="CH210" s="10"/>
      <c r="CI210" s="10">
        <v>0</v>
      </c>
      <c r="CJ210" s="10">
        <v>3</v>
      </c>
      <c r="CK210" s="10"/>
      <c r="CL210" s="10"/>
      <c r="CM210" s="10">
        <v>0</v>
      </c>
      <c r="CN210" s="10"/>
      <c r="CO210" s="10">
        <v>0</v>
      </c>
      <c r="CP210" s="317"/>
      <c r="CQ210" s="10"/>
      <c r="CR210" s="10"/>
      <c r="CS210" s="10">
        <v>0</v>
      </c>
      <c r="CT210" s="10">
        <v>8</v>
      </c>
      <c r="CU210" s="10">
        <v>0</v>
      </c>
      <c r="CV210" s="10">
        <v>0</v>
      </c>
      <c r="CW210" s="10"/>
      <c r="CX210" s="10"/>
      <c r="CY210" s="59">
        <v>0</v>
      </c>
      <c r="CZ210" s="59"/>
      <c r="DA210" s="59"/>
      <c r="DB210" s="10">
        <v>4</v>
      </c>
      <c r="DC210" s="10"/>
      <c r="DD210" s="10"/>
      <c r="DE210" s="10"/>
      <c r="DF210" s="10"/>
      <c r="DG210" s="10">
        <v>0</v>
      </c>
      <c r="DH210" s="10">
        <v>2</v>
      </c>
      <c r="DI210" s="10">
        <v>0</v>
      </c>
      <c r="DJ210" s="59">
        <v>0</v>
      </c>
      <c r="DK210" s="59"/>
      <c r="DL210" s="59"/>
      <c r="DM210" s="10">
        <v>4</v>
      </c>
      <c r="DN210" s="10"/>
      <c r="DO210" s="10">
        <v>0</v>
      </c>
      <c r="DP210" s="10"/>
      <c r="DQ210" s="10"/>
      <c r="DR210" s="10"/>
      <c r="DS210" s="59">
        <v>0</v>
      </c>
      <c r="DT210" s="10">
        <v>0</v>
      </c>
      <c r="DU210" s="10">
        <v>0</v>
      </c>
      <c r="DV210" s="38">
        <f t="shared" si="100"/>
        <v>27</v>
      </c>
      <c r="DW210" s="14" t="str">
        <f t="shared" si="101"/>
        <v/>
      </c>
    </row>
    <row r="211" spans="1:127" customFormat="1">
      <c r="A211" s="210">
        <v>34578</v>
      </c>
      <c r="B211" s="211"/>
      <c r="C211" s="8">
        <v>4</v>
      </c>
      <c r="D211" s="10">
        <v>22</v>
      </c>
      <c r="E211" s="10">
        <v>3</v>
      </c>
      <c r="F211" s="10">
        <v>15</v>
      </c>
      <c r="G211" s="10">
        <v>1</v>
      </c>
      <c r="H211" s="10">
        <v>3</v>
      </c>
      <c r="I211" s="10">
        <v>0</v>
      </c>
      <c r="J211" s="10">
        <v>4</v>
      </c>
      <c r="K211" s="59">
        <v>0</v>
      </c>
      <c r="L211" s="59">
        <v>0</v>
      </c>
      <c r="M211" s="59"/>
      <c r="N211" s="59"/>
      <c r="O211" s="10">
        <v>18</v>
      </c>
      <c r="P211" s="10">
        <v>1</v>
      </c>
      <c r="Q211" s="10">
        <v>0</v>
      </c>
      <c r="R211" s="10">
        <v>0</v>
      </c>
      <c r="S211" s="35">
        <f t="shared" si="99"/>
        <v>71</v>
      </c>
      <c r="T211" s="10">
        <v>1</v>
      </c>
      <c r="U211" s="10"/>
      <c r="V211" s="10"/>
      <c r="W211" s="10">
        <v>14</v>
      </c>
      <c r="X211" s="5">
        <v>3</v>
      </c>
      <c r="Y211" s="10"/>
      <c r="Z211" s="8"/>
      <c r="AA211" s="10">
        <v>1257540</v>
      </c>
      <c r="AB211" s="10"/>
      <c r="AC211" s="8"/>
      <c r="AD211" s="10"/>
      <c r="AE211" s="35"/>
      <c r="AF211" s="10"/>
      <c r="AG211" s="8">
        <v>134</v>
      </c>
      <c r="AH211" s="10">
        <v>1</v>
      </c>
      <c r="AI211" s="10">
        <v>158</v>
      </c>
      <c r="AJ211" s="5">
        <v>32</v>
      </c>
      <c r="AK211" s="10"/>
      <c r="AL211" s="8"/>
      <c r="AM211" s="10"/>
      <c r="AN211" s="35"/>
      <c r="AO211" s="10"/>
      <c r="AP211" s="10"/>
      <c r="AQ211" s="35"/>
      <c r="AR211" s="59"/>
      <c r="AS211" s="59"/>
      <c r="AT211" s="59"/>
      <c r="AU211" s="59"/>
      <c r="AV211" s="62"/>
      <c r="AW211" s="10"/>
      <c r="AX211" s="326"/>
      <c r="AY211" s="5"/>
      <c r="AZ211" s="10"/>
      <c r="BA211" s="8">
        <v>1598</v>
      </c>
      <c r="BB211" s="10"/>
      <c r="BC211" s="10">
        <v>18483200</v>
      </c>
      <c r="BD211" s="10"/>
      <c r="BE211" s="10">
        <v>72</v>
      </c>
      <c r="BF211" s="10">
        <v>8</v>
      </c>
      <c r="BG211" s="10">
        <v>6</v>
      </c>
      <c r="BH211" s="30"/>
      <c r="BI211" s="10"/>
      <c r="BJ211" s="338"/>
      <c r="BK211" s="338"/>
      <c r="BL211" s="303"/>
      <c r="BM211" s="5"/>
      <c r="BN211" s="10"/>
      <c r="BO211" s="8"/>
      <c r="BP211" s="5"/>
      <c r="BQ211" s="10"/>
      <c r="BR211" s="29">
        <v>1995</v>
      </c>
      <c r="BS211" s="64">
        <v>1994</v>
      </c>
      <c r="BT211" s="14">
        <v>17</v>
      </c>
      <c r="BU211" s="10"/>
      <c r="BV211" s="8">
        <v>1</v>
      </c>
      <c r="BW211" s="10">
        <v>0</v>
      </c>
      <c r="BX211" s="10"/>
      <c r="BY211" s="10"/>
      <c r="BZ211" s="10"/>
      <c r="CA211" s="10"/>
      <c r="CB211" s="10"/>
      <c r="CC211" s="221"/>
      <c r="CD211" s="10">
        <v>4</v>
      </c>
      <c r="CE211" s="317"/>
      <c r="CF211" s="10">
        <v>0</v>
      </c>
      <c r="CG211" s="10">
        <v>0</v>
      </c>
      <c r="CH211" s="10"/>
      <c r="CI211" s="10">
        <v>10</v>
      </c>
      <c r="CJ211" s="10">
        <v>0</v>
      </c>
      <c r="CK211" s="10"/>
      <c r="CL211" s="10"/>
      <c r="CM211" s="10">
        <v>0</v>
      </c>
      <c r="CN211" s="10"/>
      <c r="CO211" s="10">
        <v>0</v>
      </c>
      <c r="CP211" s="317"/>
      <c r="CQ211" s="10"/>
      <c r="CR211" s="10"/>
      <c r="CS211" s="10">
        <v>15</v>
      </c>
      <c r="CT211" s="10">
        <v>5</v>
      </c>
      <c r="CU211" s="10">
        <v>3</v>
      </c>
      <c r="CV211" s="10">
        <v>14</v>
      </c>
      <c r="CW211" s="10"/>
      <c r="CX211" s="10"/>
      <c r="CY211" s="59">
        <v>0</v>
      </c>
      <c r="CZ211" s="59"/>
      <c r="DA211" s="59"/>
      <c r="DB211" s="10">
        <v>1</v>
      </c>
      <c r="DC211" s="10"/>
      <c r="DD211" s="10"/>
      <c r="DE211" s="10"/>
      <c r="DF211" s="10"/>
      <c r="DG211" s="10">
        <v>4</v>
      </c>
      <c r="DH211" s="10">
        <v>0</v>
      </c>
      <c r="DI211" s="10">
        <v>13</v>
      </c>
      <c r="DJ211" s="59">
        <v>0</v>
      </c>
      <c r="DK211" s="59"/>
      <c r="DL211" s="59"/>
      <c r="DM211" s="10">
        <v>0</v>
      </c>
      <c r="DN211" s="10"/>
      <c r="DO211" s="10">
        <v>1</v>
      </c>
      <c r="DP211" s="10"/>
      <c r="DQ211" s="10"/>
      <c r="DR211" s="10"/>
      <c r="DS211" s="59">
        <v>0</v>
      </c>
      <c r="DT211" s="10">
        <v>0</v>
      </c>
      <c r="DU211" s="10">
        <v>0</v>
      </c>
      <c r="DV211" s="38">
        <f t="shared" si="100"/>
        <v>71</v>
      </c>
      <c r="DW211" s="14" t="str">
        <f t="shared" si="101"/>
        <v/>
      </c>
    </row>
    <row r="212" spans="1:127" customFormat="1">
      <c r="A212" s="210">
        <v>34592</v>
      </c>
      <c r="B212" s="211"/>
      <c r="C212" s="8">
        <v>2</v>
      </c>
      <c r="D212" s="10">
        <v>32</v>
      </c>
      <c r="E212" s="10">
        <v>2</v>
      </c>
      <c r="F212" s="10">
        <v>0</v>
      </c>
      <c r="G212" s="10">
        <v>4</v>
      </c>
      <c r="H212" s="10">
        <v>0</v>
      </c>
      <c r="I212" s="10">
        <v>0</v>
      </c>
      <c r="J212" s="10">
        <v>7</v>
      </c>
      <c r="K212" s="59">
        <v>0</v>
      </c>
      <c r="L212" s="59">
        <v>0</v>
      </c>
      <c r="M212" s="59"/>
      <c r="N212" s="59"/>
      <c r="O212" s="10">
        <v>22</v>
      </c>
      <c r="P212" s="10">
        <v>3</v>
      </c>
      <c r="Q212" s="10">
        <v>0</v>
      </c>
      <c r="R212" s="10">
        <v>0</v>
      </c>
      <c r="S212" s="35">
        <f t="shared" si="99"/>
        <v>72</v>
      </c>
      <c r="T212" s="10">
        <v>1</v>
      </c>
      <c r="U212" s="10"/>
      <c r="V212" s="10"/>
      <c r="W212" s="10">
        <v>6</v>
      </c>
      <c r="X212" s="5">
        <v>0</v>
      </c>
      <c r="Y212" s="10"/>
      <c r="Z212" s="8"/>
      <c r="AA212" s="10">
        <v>1865638</v>
      </c>
      <c r="AB212" s="10"/>
      <c r="AC212" s="8"/>
      <c r="AD212" s="10"/>
      <c r="AE212" s="35"/>
      <c r="AF212" s="10"/>
      <c r="AG212" s="8">
        <v>126</v>
      </c>
      <c r="AH212" s="10">
        <v>24</v>
      </c>
      <c r="AI212" s="10">
        <v>170</v>
      </c>
      <c r="AJ212" s="5">
        <v>28</v>
      </c>
      <c r="AK212" s="10"/>
      <c r="AL212" s="8"/>
      <c r="AM212" s="10"/>
      <c r="AN212" s="35"/>
      <c r="AO212" s="10"/>
      <c r="AP212" s="10"/>
      <c r="AQ212" s="35"/>
      <c r="AR212" s="59"/>
      <c r="AS212" s="59"/>
      <c r="AT212" s="59"/>
      <c r="AU212" s="59"/>
      <c r="AV212" s="62"/>
      <c r="AW212" s="10"/>
      <c r="AX212" s="326"/>
      <c r="AY212" s="5"/>
      <c r="AZ212" s="10"/>
      <c r="BA212" s="8"/>
      <c r="BB212" s="10"/>
      <c r="BC212" s="10"/>
      <c r="BD212" s="10"/>
      <c r="BE212" s="10"/>
      <c r="BF212" s="10"/>
      <c r="BG212" s="10"/>
      <c r="BH212" s="30"/>
      <c r="BI212" s="10"/>
      <c r="BJ212" s="338"/>
      <c r="BK212" s="338"/>
      <c r="BL212" s="303"/>
      <c r="BM212" s="5"/>
      <c r="BN212" s="10"/>
      <c r="BO212" s="8"/>
      <c r="BP212" s="5"/>
      <c r="BQ212" s="10"/>
      <c r="BR212" s="29">
        <v>1995</v>
      </c>
      <c r="BS212" s="64">
        <v>1994</v>
      </c>
      <c r="BT212" s="14">
        <v>18</v>
      </c>
      <c r="BU212" s="10"/>
      <c r="BV212" s="8">
        <v>1</v>
      </c>
      <c r="BW212" s="10">
        <v>1</v>
      </c>
      <c r="BX212" s="10"/>
      <c r="BY212" s="10"/>
      <c r="BZ212" s="10"/>
      <c r="CA212" s="10"/>
      <c r="CB212" s="10"/>
      <c r="CC212" s="221"/>
      <c r="CD212" s="10">
        <v>9</v>
      </c>
      <c r="CE212" s="317"/>
      <c r="CF212" s="10">
        <v>0</v>
      </c>
      <c r="CG212" s="10">
        <v>0</v>
      </c>
      <c r="CH212" s="10"/>
      <c r="CI212" s="10">
        <v>3</v>
      </c>
      <c r="CJ212" s="10">
        <v>25</v>
      </c>
      <c r="CK212" s="10"/>
      <c r="CL212" s="10"/>
      <c r="CM212" s="10">
        <v>0</v>
      </c>
      <c r="CN212" s="10"/>
      <c r="CO212" s="10">
        <v>1</v>
      </c>
      <c r="CP212" s="317"/>
      <c r="CQ212" s="10"/>
      <c r="CR212" s="10"/>
      <c r="CS212" s="10">
        <v>0</v>
      </c>
      <c r="CT212" s="10">
        <v>1</v>
      </c>
      <c r="CU212" s="10">
        <v>6</v>
      </c>
      <c r="CV212" s="10">
        <v>0</v>
      </c>
      <c r="CW212" s="10"/>
      <c r="CX212" s="10"/>
      <c r="CY212" s="59">
        <v>0</v>
      </c>
      <c r="CZ212" s="59"/>
      <c r="DA212" s="59"/>
      <c r="DB212" s="10">
        <v>5</v>
      </c>
      <c r="DC212" s="10"/>
      <c r="DD212" s="10"/>
      <c r="DE212" s="10"/>
      <c r="DF212" s="10"/>
      <c r="DG212" s="10">
        <v>0</v>
      </c>
      <c r="DH212" s="10">
        <v>0</v>
      </c>
      <c r="DI212" s="10">
        <v>2</v>
      </c>
      <c r="DJ212" s="59">
        <v>0</v>
      </c>
      <c r="DK212" s="59"/>
      <c r="DL212" s="59"/>
      <c r="DM212" s="10">
        <v>16</v>
      </c>
      <c r="DN212" s="10"/>
      <c r="DO212" s="10">
        <v>2</v>
      </c>
      <c r="DP212" s="10"/>
      <c r="DQ212" s="10"/>
      <c r="DR212" s="10"/>
      <c r="DS212" s="59">
        <v>0</v>
      </c>
      <c r="DT212" s="10">
        <v>0</v>
      </c>
      <c r="DU212" s="10">
        <v>0</v>
      </c>
      <c r="DV212" s="38">
        <f t="shared" si="100"/>
        <v>72</v>
      </c>
      <c r="DW212" s="14" t="str">
        <f t="shared" si="101"/>
        <v/>
      </c>
    </row>
    <row r="213" spans="1:127" customFormat="1">
      <c r="A213" s="210">
        <v>34608</v>
      </c>
      <c r="B213" s="211"/>
      <c r="C213" s="8">
        <v>7</v>
      </c>
      <c r="D213" s="10">
        <v>17</v>
      </c>
      <c r="E213" s="10">
        <v>1</v>
      </c>
      <c r="F213" s="10">
        <v>0</v>
      </c>
      <c r="G213" s="10">
        <v>0</v>
      </c>
      <c r="H213" s="10">
        <v>2</v>
      </c>
      <c r="I213" s="10">
        <v>0</v>
      </c>
      <c r="J213" s="10">
        <v>0</v>
      </c>
      <c r="K213" s="59">
        <v>0</v>
      </c>
      <c r="L213" s="59">
        <v>0</v>
      </c>
      <c r="M213" s="59"/>
      <c r="N213" s="59"/>
      <c r="O213" s="10">
        <v>4</v>
      </c>
      <c r="P213" s="10">
        <v>1</v>
      </c>
      <c r="Q213" s="10">
        <v>0</v>
      </c>
      <c r="R213" s="10">
        <v>0</v>
      </c>
      <c r="S213" s="35">
        <f t="shared" si="99"/>
        <v>32</v>
      </c>
      <c r="T213" s="10">
        <v>0</v>
      </c>
      <c r="U213" s="10"/>
      <c r="V213" s="10"/>
      <c r="W213" s="10">
        <v>0</v>
      </c>
      <c r="X213" s="5">
        <v>0</v>
      </c>
      <c r="Y213" s="10"/>
      <c r="Z213" s="8"/>
      <c r="AA213" s="10">
        <v>591917</v>
      </c>
      <c r="AB213" s="10"/>
      <c r="AC213" s="8"/>
      <c r="AD213" s="10"/>
      <c r="AE213" s="35"/>
      <c r="AF213" s="10"/>
      <c r="AG213" s="8">
        <v>79</v>
      </c>
      <c r="AH213" s="10">
        <v>62</v>
      </c>
      <c r="AI213" s="10">
        <v>154</v>
      </c>
      <c r="AJ213" s="5">
        <v>20</v>
      </c>
      <c r="AK213" s="10"/>
      <c r="AL213" s="8"/>
      <c r="AM213" s="10"/>
      <c r="AN213" s="35"/>
      <c r="AO213" s="10"/>
      <c r="AP213" s="10"/>
      <c r="AQ213" s="35"/>
      <c r="AR213" s="59"/>
      <c r="AS213" s="59"/>
      <c r="AT213" s="59"/>
      <c r="AU213" s="59"/>
      <c r="AV213" s="62"/>
      <c r="AW213" s="10"/>
      <c r="AX213" s="326"/>
      <c r="AY213" s="5"/>
      <c r="AZ213" s="10"/>
      <c r="BA213" s="8">
        <v>1599</v>
      </c>
      <c r="BB213" s="10"/>
      <c r="BC213" s="10">
        <v>18442240</v>
      </c>
      <c r="BD213" s="10"/>
      <c r="BE213" s="10">
        <v>31</v>
      </c>
      <c r="BF213" s="10">
        <v>2</v>
      </c>
      <c r="BG213" s="10">
        <v>1</v>
      </c>
      <c r="BH213" s="30"/>
      <c r="BI213" s="10"/>
      <c r="BJ213" s="338"/>
      <c r="BK213" s="338"/>
      <c r="BL213" s="303"/>
      <c r="BM213" s="5"/>
      <c r="BN213" s="10"/>
      <c r="BO213" s="8"/>
      <c r="BP213" s="5"/>
      <c r="BQ213" s="10"/>
      <c r="BR213" s="29">
        <v>1995</v>
      </c>
      <c r="BS213" s="64">
        <v>1994</v>
      </c>
      <c r="BT213" s="14">
        <v>19</v>
      </c>
      <c r="BU213" s="10"/>
      <c r="BV213" s="8">
        <v>0</v>
      </c>
      <c r="BW213" s="10">
        <v>2</v>
      </c>
      <c r="BX213" s="10"/>
      <c r="BY213" s="10"/>
      <c r="BZ213" s="10"/>
      <c r="CA213" s="10"/>
      <c r="CB213" s="10"/>
      <c r="CC213" s="221"/>
      <c r="CD213" s="10">
        <v>5</v>
      </c>
      <c r="CE213" s="317"/>
      <c r="CF213" s="10">
        <v>0</v>
      </c>
      <c r="CG213" s="10">
        <v>0</v>
      </c>
      <c r="CH213" s="10"/>
      <c r="CI213" s="10">
        <v>0</v>
      </c>
      <c r="CJ213" s="10">
        <v>1</v>
      </c>
      <c r="CK213" s="10"/>
      <c r="CL213" s="10"/>
      <c r="CM213" s="10">
        <v>0</v>
      </c>
      <c r="CN213" s="10"/>
      <c r="CO213" s="10">
        <v>1</v>
      </c>
      <c r="CP213" s="317"/>
      <c r="CQ213" s="10"/>
      <c r="CR213" s="10"/>
      <c r="CS213" s="10">
        <v>0</v>
      </c>
      <c r="CT213" s="10">
        <v>10</v>
      </c>
      <c r="CU213" s="10">
        <v>1</v>
      </c>
      <c r="CV213" s="10">
        <v>2</v>
      </c>
      <c r="CW213" s="10"/>
      <c r="CX213" s="10"/>
      <c r="CY213" s="59">
        <v>0</v>
      </c>
      <c r="CZ213" s="59"/>
      <c r="DA213" s="59"/>
      <c r="DB213" s="10">
        <v>4</v>
      </c>
      <c r="DC213" s="10"/>
      <c r="DD213" s="10"/>
      <c r="DE213" s="10"/>
      <c r="DF213" s="10"/>
      <c r="DG213" s="10">
        <v>1</v>
      </c>
      <c r="DH213" s="10">
        <v>2</v>
      </c>
      <c r="DI213" s="10">
        <v>0</v>
      </c>
      <c r="DJ213" s="59">
        <v>0</v>
      </c>
      <c r="DK213" s="59"/>
      <c r="DL213" s="59"/>
      <c r="DM213" s="10">
        <v>0</v>
      </c>
      <c r="DN213" s="10"/>
      <c r="DO213" s="10">
        <v>0</v>
      </c>
      <c r="DP213" s="10"/>
      <c r="DQ213" s="10"/>
      <c r="DR213" s="10"/>
      <c r="DS213" s="59">
        <v>0</v>
      </c>
      <c r="DT213" s="10">
        <v>3</v>
      </c>
      <c r="DU213" s="10">
        <v>0</v>
      </c>
      <c r="DV213" s="38">
        <f t="shared" si="100"/>
        <v>32</v>
      </c>
      <c r="DW213" s="14" t="str">
        <f t="shared" si="101"/>
        <v/>
      </c>
    </row>
    <row r="214" spans="1:127" customFormat="1">
      <c r="A214" s="210">
        <v>34622</v>
      </c>
      <c r="B214" s="211"/>
      <c r="C214" s="8">
        <v>5</v>
      </c>
      <c r="D214" s="10">
        <v>20</v>
      </c>
      <c r="E214" s="10">
        <v>6</v>
      </c>
      <c r="F214" s="10">
        <v>1</v>
      </c>
      <c r="G214" s="10">
        <v>1</v>
      </c>
      <c r="H214" s="10">
        <v>0</v>
      </c>
      <c r="I214" s="10">
        <v>0</v>
      </c>
      <c r="J214" s="10">
        <v>2</v>
      </c>
      <c r="K214" s="59">
        <v>0</v>
      </c>
      <c r="L214" s="59">
        <v>0</v>
      </c>
      <c r="M214" s="59"/>
      <c r="N214" s="59"/>
      <c r="O214" s="10">
        <v>2</v>
      </c>
      <c r="P214" s="10">
        <v>2</v>
      </c>
      <c r="Q214" s="10">
        <v>0</v>
      </c>
      <c r="R214" s="10">
        <v>0</v>
      </c>
      <c r="S214" s="35">
        <f t="shared" si="99"/>
        <v>39</v>
      </c>
      <c r="T214" s="10">
        <v>0</v>
      </c>
      <c r="U214" s="10"/>
      <c r="V214" s="10"/>
      <c r="W214" s="10">
        <v>9</v>
      </c>
      <c r="X214" s="5">
        <v>0</v>
      </c>
      <c r="Y214" s="10"/>
      <c r="Z214" s="8"/>
      <c r="AA214" s="10">
        <v>1202190</v>
      </c>
      <c r="AB214" s="10"/>
      <c r="AC214" s="8"/>
      <c r="AD214" s="10"/>
      <c r="AE214" s="35"/>
      <c r="AF214" s="10"/>
      <c r="AG214" s="8">
        <v>119</v>
      </c>
      <c r="AH214" s="10">
        <v>26</v>
      </c>
      <c r="AI214" s="10">
        <v>161</v>
      </c>
      <c r="AJ214" s="5">
        <v>28</v>
      </c>
      <c r="AK214" s="10"/>
      <c r="AL214" s="8"/>
      <c r="AM214" s="10"/>
      <c r="AN214" s="35"/>
      <c r="AO214" s="10"/>
      <c r="AP214" s="10"/>
      <c r="AQ214" s="35"/>
      <c r="AR214" s="59"/>
      <c r="AS214" s="59"/>
      <c r="AT214" s="59"/>
      <c r="AU214" s="59"/>
      <c r="AV214" s="62"/>
      <c r="AW214" s="10"/>
      <c r="AX214" s="326"/>
      <c r="AY214" s="5"/>
      <c r="AZ214" s="10"/>
      <c r="BA214" s="8"/>
      <c r="BB214" s="10"/>
      <c r="BC214" s="10"/>
      <c r="BD214" s="10"/>
      <c r="BE214" s="10"/>
      <c r="BF214" s="10"/>
      <c r="BG214" s="10"/>
      <c r="BH214" s="30"/>
      <c r="BI214" s="10"/>
      <c r="BJ214" s="338"/>
      <c r="BK214" s="338"/>
      <c r="BL214" s="303"/>
      <c r="BM214" s="5"/>
      <c r="BN214" s="10"/>
      <c r="BO214" s="8"/>
      <c r="BP214" s="5"/>
      <c r="BQ214" s="10"/>
      <c r="BR214" s="29">
        <v>1995</v>
      </c>
      <c r="BS214" s="64">
        <v>1994</v>
      </c>
      <c r="BT214" s="14">
        <v>20</v>
      </c>
      <c r="BU214" s="10"/>
      <c r="BV214" s="8">
        <v>0</v>
      </c>
      <c r="BW214" s="10">
        <v>4</v>
      </c>
      <c r="BX214" s="10"/>
      <c r="BY214" s="10"/>
      <c r="BZ214" s="10"/>
      <c r="CA214" s="10"/>
      <c r="CB214" s="10"/>
      <c r="CC214" s="221"/>
      <c r="CD214" s="10">
        <v>3</v>
      </c>
      <c r="CE214" s="317"/>
      <c r="CF214" s="10">
        <v>0</v>
      </c>
      <c r="CG214" s="10">
        <v>1</v>
      </c>
      <c r="CH214" s="10"/>
      <c r="CI214" s="10">
        <v>6</v>
      </c>
      <c r="CJ214" s="10">
        <v>4</v>
      </c>
      <c r="CK214" s="10"/>
      <c r="CL214" s="10"/>
      <c r="CM214" s="10">
        <v>0</v>
      </c>
      <c r="CN214" s="10"/>
      <c r="CO214" s="10">
        <v>9</v>
      </c>
      <c r="CP214" s="317"/>
      <c r="CQ214" s="10"/>
      <c r="CR214" s="10"/>
      <c r="CS214" s="10">
        <v>0</v>
      </c>
      <c r="CT214" s="10">
        <v>4</v>
      </c>
      <c r="CU214" s="10">
        <v>0</v>
      </c>
      <c r="CV214" s="10">
        <v>1</v>
      </c>
      <c r="CW214" s="10"/>
      <c r="CX214" s="10"/>
      <c r="CY214" s="59">
        <v>0</v>
      </c>
      <c r="CZ214" s="59"/>
      <c r="DA214" s="59"/>
      <c r="DB214" s="10">
        <v>1</v>
      </c>
      <c r="DC214" s="10"/>
      <c r="DD214" s="10"/>
      <c r="DE214" s="10"/>
      <c r="DF214" s="10"/>
      <c r="DG214" s="10">
        <v>0</v>
      </c>
      <c r="DH214" s="10">
        <v>0</v>
      </c>
      <c r="DI214" s="10">
        <v>2</v>
      </c>
      <c r="DJ214" s="59">
        <v>0</v>
      </c>
      <c r="DK214" s="59"/>
      <c r="DL214" s="59"/>
      <c r="DM214" s="10">
        <v>4</v>
      </c>
      <c r="DN214" s="10"/>
      <c r="DO214" s="10">
        <v>0</v>
      </c>
      <c r="DP214" s="10"/>
      <c r="DQ214" s="10"/>
      <c r="DR214" s="10"/>
      <c r="DS214" s="59">
        <v>0</v>
      </c>
      <c r="DT214" s="10">
        <v>0</v>
      </c>
      <c r="DU214" s="10">
        <v>0</v>
      </c>
      <c r="DV214" s="38">
        <f t="shared" si="100"/>
        <v>39</v>
      </c>
      <c r="DW214" s="14" t="str">
        <f t="shared" si="101"/>
        <v/>
      </c>
    </row>
    <row r="215" spans="1:127" customFormat="1">
      <c r="A215" s="210">
        <v>34639</v>
      </c>
      <c r="B215" s="211"/>
      <c r="C215" s="8">
        <v>2</v>
      </c>
      <c r="D215" s="10">
        <v>5</v>
      </c>
      <c r="E215" s="10">
        <v>2</v>
      </c>
      <c r="F215" s="10">
        <v>0</v>
      </c>
      <c r="G215" s="10">
        <v>0</v>
      </c>
      <c r="H215" s="10">
        <v>0</v>
      </c>
      <c r="I215" s="10">
        <v>0</v>
      </c>
      <c r="J215" s="10">
        <v>1</v>
      </c>
      <c r="K215" s="59">
        <v>0</v>
      </c>
      <c r="L215" s="59">
        <v>0</v>
      </c>
      <c r="M215" s="59"/>
      <c r="N215" s="59"/>
      <c r="O215" s="10">
        <v>3</v>
      </c>
      <c r="P215" s="10">
        <v>0</v>
      </c>
      <c r="Q215" s="10">
        <v>0</v>
      </c>
      <c r="R215" s="10">
        <v>0</v>
      </c>
      <c r="S215" s="35">
        <f t="shared" si="99"/>
        <v>13</v>
      </c>
      <c r="T215" s="10">
        <v>0</v>
      </c>
      <c r="U215" s="10"/>
      <c r="V215" s="10"/>
      <c r="W215" s="10">
        <v>1</v>
      </c>
      <c r="X215" s="5">
        <v>0</v>
      </c>
      <c r="Y215" s="10"/>
      <c r="Z215" s="8"/>
      <c r="AA215" s="10">
        <v>289819</v>
      </c>
      <c r="AB215" s="10"/>
      <c r="AC215" s="8"/>
      <c r="AD215" s="10"/>
      <c r="AE215" s="35"/>
      <c r="AF215" s="10"/>
      <c r="AG215" s="8">
        <v>46</v>
      </c>
      <c r="AH215" s="10">
        <v>68</v>
      </c>
      <c r="AI215" s="10">
        <v>123</v>
      </c>
      <c r="AJ215" s="5">
        <v>16</v>
      </c>
      <c r="AK215" s="10"/>
      <c r="AL215" s="8">
        <v>33</v>
      </c>
      <c r="AM215" s="10">
        <v>142</v>
      </c>
      <c r="AN215" s="35">
        <f>SUM(AL215:AM215)</f>
        <v>175</v>
      </c>
      <c r="AO215" s="10">
        <v>174</v>
      </c>
      <c r="AP215" s="10">
        <v>23</v>
      </c>
      <c r="AQ215" s="35">
        <f>SUM(AO215:AP215)</f>
        <v>197</v>
      </c>
      <c r="AR215" s="59"/>
      <c r="AS215" s="59"/>
      <c r="AT215" s="59"/>
      <c r="AU215" s="59"/>
      <c r="AV215" s="62"/>
      <c r="AW215" s="10"/>
      <c r="AX215" s="326"/>
      <c r="AY215" s="5"/>
      <c r="AZ215" s="10"/>
      <c r="BA215" s="8">
        <v>1604</v>
      </c>
      <c r="BB215" s="10"/>
      <c r="BC215" s="10">
        <v>18511872</v>
      </c>
      <c r="BD215" s="10"/>
      <c r="BE215" s="10">
        <v>78</v>
      </c>
      <c r="BF215" s="10">
        <v>8</v>
      </c>
      <c r="BG215" s="10">
        <v>3</v>
      </c>
      <c r="BH215" s="30"/>
      <c r="BI215" s="10"/>
      <c r="BJ215" s="338"/>
      <c r="BK215" s="338"/>
      <c r="BL215" s="303"/>
      <c r="BM215" s="5"/>
      <c r="BN215" s="10"/>
      <c r="BO215" s="8"/>
      <c r="BP215" s="5"/>
      <c r="BQ215" s="10"/>
      <c r="BR215" s="29">
        <v>1995</v>
      </c>
      <c r="BS215" s="64">
        <v>1994</v>
      </c>
      <c r="BT215" s="14">
        <v>21</v>
      </c>
      <c r="BU215" s="10"/>
      <c r="BV215" s="8">
        <v>0</v>
      </c>
      <c r="BW215" s="10">
        <v>1</v>
      </c>
      <c r="BX215" s="10"/>
      <c r="BY215" s="10"/>
      <c r="BZ215" s="10"/>
      <c r="CA215" s="10"/>
      <c r="CB215" s="10"/>
      <c r="CC215" s="221"/>
      <c r="CD215" s="10">
        <v>1</v>
      </c>
      <c r="CE215" s="317"/>
      <c r="CF215" s="10">
        <v>0</v>
      </c>
      <c r="CG215" s="10">
        <v>1</v>
      </c>
      <c r="CH215" s="10"/>
      <c r="CI215" s="10">
        <v>1</v>
      </c>
      <c r="CJ215" s="10">
        <v>3</v>
      </c>
      <c r="CK215" s="10"/>
      <c r="CL215" s="10"/>
      <c r="CM215" s="10">
        <v>0</v>
      </c>
      <c r="CN215" s="10"/>
      <c r="CO215" s="10">
        <v>1</v>
      </c>
      <c r="CP215" s="317"/>
      <c r="CQ215" s="10"/>
      <c r="CR215" s="10"/>
      <c r="CS215" s="10">
        <v>0</v>
      </c>
      <c r="CT215" s="10">
        <v>1</v>
      </c>
      <c r="CU215" s="10">
        <v>1</v>
      </c>
      <c r="CV215" s="10">
        <v>0</v>
      </c>
      <c r="CW215" s="10"/>
      <c r="CX215" s="10"/>
      <c r="CY215" s="59">
        <v>0</v>
      </c>
      <c r="CZ215" s="59"/>
      <c r="DA215" s="59"/>
      <c r="DB215" s="10">
        <v>0</v>
      </c>
      <c r="DC215" s="10"/>
      <c r="DD215" s="10"/>
      <c r="DE215" s="10"/>
      <c r="DF215" s="10"/>
      <c r="DG215" s="10">
        <v>1</v>
      </c>
      <c r="DH215" s="10">
        <v>0</v>
      </c>
      <c r="DI215" s="10">
        <v>2</v>
      </c>
      <c r="DJ215" s="59">
        <v>0</v>
      </c>
      <c r="DK215" s="59"/>
      <c r="DL215" s="59"/>
      <c r="DM215" s="10">
        <v>0</v>
      </c>
      <c r="DN215" s="10"/>
      <c r="DO215" s="10">
        <v>0</v>
      </c>
      <c r="DP215" s="10"/>
      <c r="DQ215" s="10"/>
      <c r="DR215" s="10"/>
      <c r="DS215" s="59">
        <v>0</v>
      </c>
      <c r="DT215" s="10">
        <v>0</v>
      </c>
      <c r="DU215" s="10">
        <v>0</v>
      </c>
      <c r="DV215" s="38">
        <f t="shared" si="100"/>
        <v>13</v>
      </c>
      <c r="DW215" s="14" t="str">
        <f t="shared" si="101"/>
        <v/>
      </c>
    </row>
    <row r="216" spans="1:127" customFormat="1">
      <c r="A216" s="210">
        <v>34653</v>
      </c>
      <c r="B216" s="211"/>
      <c r="C216" s="8">
        <v>4</v>
      </c>
      <c r="D216" s="10">
        <v>22</v>
      </c>
      <c r="E216" s="10">
        <v>1</v>
      </c>
      <c r="F216" s="10">
        <v>0</v>
      </c>
      <c r="G216" s="10">
        <v>3</v>
      </c>
      <c r="H216" s="10">
        <v>0</v>
      </c>
      <c r="I216" s="10">
        <v>0</v>
      </c>
      <c r="J216" s="10">
        <v>11</v>
      </c>
      <c r="K216" s="59">
        <v>0</v>
      </c>
      <c r="L216" s="59">
        <v>0</v>
      </c>
      <c r="M216" s="59"/>
      <c r="N216" s="59"/>
      <c r="O216" s="10">
        <v>38</v>
      </c>
      <c r="P216" s="10">
        <v>7</v>
      </c>
      <c r="Q216" s="10">
        <v>0</v>
      </c>
      <c r="R216" s="10">
        <v>0</v>
      </c>
      <c r="S216" s="35">
        <f t="shared" si="99"/>
        <v>86</v>
      </c>
      <c r="T216" s="10">
        <v>1</v>
      </c>
      <c r="U216" s="10"/>
      <c r="V216" s="10"/>
      <c r="W216" s="10">
        <v>0</v>
      </c>
      <c r="X216" s="5">
        <v>0</v>
      </c>
      <c r="Y216" s="10"/>
      <c r="Z216" s="8"/>
      <c r="AA216" s="10">
        <v>1802406</v>
      </c>
      <c r="AB216" s="10"/>
      <c r="AC216" s="8"/>
      <c r="AD216" s="10"/>
      <c r="AE216" s="35"/>
      <c r="AF216" s="10"/>
      <c r="AG216" s="8">
        <v>108</v>
      </c>
      <c r="AH216" s="10">
        <v>28</v>
      </c>
      <c r="AI216" s="10">
        <v>156</v>
      </c>
      <c r="AJ216" s="5">
        <v>24</v>
      </c>
      <c r="AK216" s="10"/>
      <c r="AL216" s="8"/>
      <c r="AM216" s="10"/>
      <c r="AN216" s="35"/>
      <c r="AO216" s="10"/>
      <c r="AP216" s="10"/>
      <c r="AQ216" s="35"/>
      <c r="AR216" s="59"/>
      <c r="AS216" s="59"/>
      <c r="AT216" s="59"/>
      <c r="AU216" s="59"/>
      <c r="AV216" s="62"/>
      <c r="AW216" s="10"/>
      <c r="AX216" s="326"/>
      <c r="AY216" s="5"/>
      <c r="AZ216" s="10"/>
      <c r="BA216" s="8"/>
      <c r="BB216" s="10"/>
      <c r="BC216" s="10"/>
      <c r="BD216" s="10"/>
      <c r="BE216" s="10"/>
      <c r="BF216" s="10"/>
      <c r="BG216" s="10"/>
      <c r="BH216" s="30"/>
      <c r="BI216" s="10"/>
      <c r="BJ216" s="338"/>
      <c r="BK216" s="338"/>
      <c r="BL216" s="303"/>
      <c r="BM216" s="5"/>
      <c r="BN216" s="10"/>
      <c r="BO216" s="8"/>
      <c r="BP216" s="5"/>
      <c r="BQ216" s="10"/>
      <c r="BR216" s="29">
        <v>1995</v>
      </c>
      <c r="BS216" s="64">
        <v>1994</v>
      </c>
      <c r="BT216" s="14">
        <v>22</v>
      </c>
      <c r="BU216" s="10"/>
      <c r="BV216" s="8">
        <v>1</v>
      </c>
      <c r="BW216" s="10">
        <v>0</v>
      </c>
      <c r="BX216" s="10"/>
      <c r="BY216" s="10"/>
      <c r="BZ216" s="10"/>
      <c r="CA216" s="10"/>
      <c r="CB216" s="10"/>
      <c r="CC216" s="221"/>
      <c r="CD216" s="10">
        <v>4</v>
      </c>
      <c r="CE216" s="317"/>
      <c r="CF216" s="10">
        <v>0</v>
      </c>
      <c r="CG216" s="10">
        <v>0</v>
      </c>
      <c r="CH216" s="10"/>
      <c r="CI216" s="10">
        <v>0</v>
      </c>
      <c r="CJ216" s="10">
        <v>5</v>
      </c>
      <c r="CK216" s="10"/>
      <c r="CL216" s="10"/>
      <c r="CM216" s="10">
        <v>0</v>
      </c>
      <c r="CN216" s="10"/>
      <c r="CO216" s="10">
        <v>3</v>
      </c>
      <c r="CP216" s="317"/>
      <c r="CQ216" s="10"/>
      <c r="CR216" s="10"/>
      <c r="CS216" s="10">
        <v>0</v>
      </c>
      <c r="CT216" s="10">
        <v>2</v>
      </c>
      <c r="CU216" s="10">
        <v>12</v>
      </c>
      <c r="CV216" s="10">
        <v>11</v>
      </c>
      <c r="CW216" s="10"/>
      <c r="CX216" s="10"/>
      <c r="CY216" s="59">
        <v>0</v>
      </c>
      <c r="CZ216" s="59"/>
      <c r="DA216" s="59"/>
      <c r="DB216" s="10">
        <v>1</v>
      </c>
      <c r="DC216" s="10"/>
      <c r="DD216" s="10"/>
      <c r="DE216" s="10"/>
      <c r="DF216" s="10"/>
      <c r="DG216" s="10">
        <v>16</v>
      </c>
      <c r="DH216" s="10">
        <v>1</v>
      </c>
      <c r="DI216" s="10">
        <v>0</v>
      </c>
      <c r="DJ216" s="59">
        <v>0</v>
      </c>
      <c r="DK216" s="59"/>
      <c r="DL216" s="59"/>
      <c r="DM216" s="10">
        <v>0</v>
      </c>
      <c r="DN216" s="10"/>
      <c r="DO216" s="10">
        <v>1</v>
      </c>
      <c r="DP216" s="10"/>
      <c r="DQ216" s="10"/>
      <c r="DR216" s="10"/>
      <c r="DS216" s="59">
        <v>0</v>
      </c>
      <c r="DT216" s="10">
        <v>29</v>
      </c>
      <c r="DU216" s="10">
        <v>0</v>
      </c>
      <c r="DV216" s="38">
        <f t="shared" si="100"/>
        <v>86</v>
      </c>
      <c r="DW216" s="14" t="str">
        <f t="shared" si="101"/>
        <v/>
      </c>
    </row>
    <row r="217" spans="1:127" customFormat="1">
      <c r="A217" s="210">
        <v>34669</v>
      </c>
      <c r="B217" s="211"/>
      <c r="C217" s="8">
        <v>2</v>
      </c>
      <c r="D217" s="10">
        <v>21</v>
      </c>
      <c r="E217" s="10">
        <v>0</v>
      </c>
      <c r="F217" s="10">
        <v>0</v>
      </c>
      <c r="G217" s="10">
        <v>4</v>
      </c>
      <c r="H217" s="10">
        <v>1</v>
      </c>
      <c r="I217" s="10">
        <v>0</v>
      </c>
      <c r="J217" s="10">
        <v>33</v>
      </c>
      <c r="K217" s="59">
        <v>0</v>
      </c>
      <c r="L217" s="59">
        <v>0</v>
      </c>
      <c r="M217" s="59"/>
      <c r="N217" s="59"/>
      <c r="O217" s="10">
        <v>55</v>
      </c>
      <c r="P217" s="10">
        <v>2</v>
      </c>
      <c r="Q217" s="10">
        <v>0</v>
      </c>
      <c r="R217" s="10">
        <v>1</v>
      </c>
      <c r="S217" s="35">
        <f t="shared" si="99"/>
        <v>119</v>
      </c>
      <c r="T217" s="10">
        <v>55</v>
      </c>
      <c r="U217" s="10"/>
      <c r="V217" s="10"/>
      <c r="W217" s="10">
        <v>0</v>
      </c>
      <c r="X217" s="5">
        <v>0</v>
      </c>
      <c r="Y217" s="10"/>
      <c r="Z217" s="8"/>
      <c r="AA217" s="10">
        <v>1876568</v>
      </c>
      <c r="AB217" s="10"/>
      <c r="AC217" s="8"/>
      <c r="AD217" s="10"/>
      <c r="AE217" s="35"/>
      <c r="AF217" s="10"/>
      <c r="AG217" s="8">
        <v>89</v>
      </c>
      <c r="AH217" s="10">
        <v>1</v>
      </c>
      <c r="AI217" s="10">
        <v>115</v>
      </c>
      <c r="AJ217" s="5">
        <v>28</v>
      </c>
      <c r="AK217" s="10"/>
      <c r="AL217" s="8"/>
      <c r="AM217" s="10"/>
      <c r="AN217" s="35"/>
      <c r="AO217" s="10"/>
      <c r="AP217" s="10"/>
      <c r="AQ217" s="35"/>
      <c r="AR217" s="59"/>
      <c r="AS217" s="59"/>
      <c r="AT217" s="59"/>
      <c r="AU217" s="59"/>
      <c r="AV217" s="62"/>
      <c r="AW217" s="10"/>
      <c r="AX217" s="326"/>
      <c r="AY217" s="5"/>
      <c r="AZ217" s="10"/>
      <c r="BA217" s="8">
        <v>1597</v>
      </c>
      <c r="BB217" s="10"/>
      <c r="BC217" s="10">
        <v>18429952</v>
      </c>
      <c r="BD217" s="10"/>
      <c r="BE217" s="10">
        <v>103</v>
      </c>
      <c r="BF217" s="10">
        <v>6</v>
      </c>
      <c r="BG217" s="10">
        <v>9</v>
      </c>
      <c r="BH217" s="30"/>
      <c r="BI217" s="10"/>
      <c r="BJ217" s="338"/>
      <c r="BK217" s="338"/>
      <c r="BL217" s="303"/>
      <c r="BM217" s="5"/>
      <c r="BN217" s="10"/>
      <c r="BO217" s="8"/>
      <c r="BP217" s="5"/>
      <c r="BQ217" s="10"/>
      <c r="BR217" s="29">
        <v>1995</v>
      </c>
      <c r="BS217" s="64">
        <v>1994</v>
      </c>
      <c r="BT217" s="14">
        <v>23</v>
      </c>
      <c r="BU217" s="10"/>
      <c r="BV217" s="8">
        <v>0</v>
      </c>
      <c r="BW217" s="10">
        <v>0</v>
      </c>
      <c r="BX217" s="10"/>
      <c r="BY217" s="10"/>
      <c r="BZ217" s="10"/>
      <c r="CA217" s="10"/>
      <c r="CB217" s="10"/>
      <c r="CC217" s="221"/>
      <c r="CD217" s="10">
        <v>3</v>
      </c>
      <c r="CE217" s="317"/>
      <c r="CF217" s="10">
        <v>0</v>
      </c>
      <c r="CG217" s="10">
        <v>0</v>
      </c>
      <c r="CH217" s="10"/>
      <c r="CI217" s="10">
        <v>56</v>
      </c>
      <c r="CJ217" s="10">
        <v>9</v>
      </c>
      <c r="CK217" s="10"/>
      <c r="CL217" s="10"/>
      <c r="CM217" s="10">
        <v>0</v>
      </c>
      <c r="CN217" s="10"/>
      <c r="CO217" s="10">
        <v>1</v>
      </c>
      <c r="CP217" s="317"/>
      <c r="CQ217" s="10"/>
      <c r="CR217" s="10"/>
      <c r="CS217" s="10">
        <v>0</v>
      </c>
      <c r="CT217" s="10">
        <v>2</v>
      </c>
      <c r="CU217" s="10">
        <v>2</v>
      </c>
      <c r="CV217" s="10">
        <v>0</v>
      </c>
      <c r="CW217" s="10"/>
      <c r="CX217" s="10"/>
      <c r="CY217" s="59">
        <v>0</v>
      </c>
      <c r="CZ217" s="59"/>
      <c r="DA217" s="59"/>
      <c r="DB217" s="10">
        <v>35</v>
      </c>
      <c r="DC217" s="10"/>
      <c r="DD217" s="10"/>
      <c r="DE217" s="10"/>
      <c r="DF217" s="10"/>
      <c r="DG217" s="10">
        <v>1</v>
      </c>
      <c r="DH217" s="10">
        <v>0</v>
      </c>
      <c r="DI217" s="10">
        <v>0</v>
      </c>
      <c r="DJ217" s="59">
        <v>0</v>
      </c>
      <c r="DK217" s="59"/>
      <c r="DL217" s="59"/>
      <c r="DM217" s="10">
        <v>8</v>
      </c>
      <c r="DN217" s="10"/>
      <c r="DO217" s="10">
        <v>1</v>
      </c>
      <c r="DP217" s="10"/>
      <c r="DQ217" s="10"/>
      <c r="DR217" s="10"/>
      <c r="DS217" s="59">
        <v>0</v>
      </c>
      <c r="DT217" s="10">
        <v>0</v>
      </c>
      <c r="DU217" s="10">
        <v>1</v>
      </c>
      <c r="DV217" s="38">
        <f t="shared" si="100"/>
        <v>119</v>
      </c>
      <c r="DW217" s="14" t="str">
        <f t="shared" si="101"/>
        <v/>
      </c>
    </row>
    <row r="218" spans="1:127" customFormat="1">
      <c r="A218" s="210">
        <v>34683</v>
      </c>
      <c r="B218" s="211"/>
      <c r="C218" s="8">
        <v>1</v>
      </c>
      <c r="D218" s="10">
        <v>7</v>
      </c>
      <c r="E218" s="10">
        <v>1</v>
      </c>
      <c r="F218" s="10">
        <v>0</v>
      </c>
      <c r="G218" s="10">
        <v>0</v>
      </c>
      <c r="H218" s="10">
        <v>1</v>
      </c>
      <c r="I218" s="10">
        <v>0</v>
      </c>
      <c r="J218" s="10">
        <v>2</v>
      </c>
      <c r="K218" s="59">
        <v>0</v>
      </c>
      <c r="L218" s="59">
        <v>0</v>
      </c>
      <c r="M218" s="59"/>
      <c r="N218" s="59"/>
      <c r="O218" s="10">
        <v>36</v>
      </c>
      <c r="P218" s="10">
        <v>11</v>
      </c>
      <c r="Q218" s="10">
        <v>0</v>
      </c>
      <c r="R218" s="10">
        <v>0</v>
      </c>
      <c r="S218" s="35">
        <f t="shared" si="99"/>
        <v>59</v>
      </c>
      <c r="T218" s="10">
        <v>3</v>
      </c>
      <c r="U218" s="10"/>
      <c r="V218" s="10"/>
      <c r="W218" s="10">
        <v>0</v>
      </c>
      <c r="X218" s="5">
        <v>1</v>
      </c>
      <c r="Y218" s="10"/>
      <c r="Z218" s="8"/>
      <c r="AA218" s="10">
        <v>1056920</v>
      </c>
      <c r="AB218" s="10"/>
      <c r="AC218" s="8"/>
      <c r="AD218" s="10"/>
      <c r="AE218" s="35"/>
      <c r="AF218" s="10"/>
      <c r="AG218" s="8">
        <v>35</v>
      </c>
      <c r="AH218" s="10">
        <v>76</v>
      </c>
      <c r="AI218" s="10">
        <v>124</v>
      </c>
      <c r="AJ218" s="5">
        <v>20</v>
      </c>
      <c r="AK218" s="10"/>
      <c r="AL218" s="8"/>
      <c r="AM218" s="10"/>
      <c r="AN218" s="35"/>
      <c r="AO218" s="10"/>
      <c r="AP218" s="10"/>
      <c r="AQ218" s="35"/>
      <c r="AR218" s="59"/>
      <c r="AS218" s="59"/>
      <c r="AT218" s="59"/>
      <c r="AU218" s="59"/>
      <c r="AV218" s="62"/>
      <c r="AW218" s="10"/>
      <c r="AX218" s="326"/>
      <c r="AY218" s="5"/>
      <c r="AZ218" s="10"/>
      <c r="BA218" s="8"/>
      <c r="BB218" s="10"/>
      <c r="BC218" s="10"/>
      <c r="BD218" s="10"/>
      <c r="BE218" s="10"/>
      <c r="BF218" s="10"/>
      <c r="BG218" s="10"/>
      <c r="BH218" s="30"/>
      <c r="BI218" s="10"/>
      <c r="BJ218" s="338"/>
      <c r="BK218" s="338"/>
      <c r="BL218" s="303"/>
      <c r="BM218" s="5"/>
      <c r="BN218" s="10"/>
      <c r="BO218" s="8"/>
      <c r="BP218" s="5"/>
      <c r="BQ218" s="10"/>
      <c r="BR218" s="29">
        <v>1995</v>
      </c>
      <c r="BS218" s="64">
        <v>1994</v>
      </c>
      <c r="BT218" s="14">
        <v>24</v>
      </c>
      <c r="BU218" s="10"/>
      <c r="BV218" s="8">
        <v>2</v>
      </c>
      <c r="BW218" s="10">
        <v>0</v>
      </c>
      <c r="BX218" s="10"/>
      <c r="BY218" s="10"/>
      <c r="BZ218" s="10"/>
      <c r="CA218" s="10"/>
      <c r="CB218" s="10"/>
      <c r="CC218" s="221"/>
      <c r="CD218" s="10">
        <v>1</v>
      </c>
      <c r="CE218" s="317"/>
      <c r="CF218" s="10">
        <v>0</v>
      </c>
      <c r="CG218" s="10">
        <v>0</v>
      </c>
      <c r="CH218" s="10"/>
      <c r="CI218" s="10">
        <v>0</v>
      </c>
      <c r="CJ218" s="10">
        <v>3</v>
      </c>
      <c r="CK218" s="10"/>
      <c r="CL218" s="10"/>
      <c r="CM218" s="10">
        <v>0</v>
      </c>
      <c r="CN218" s="10"/>
      <c r="CO218" s="10">
        <v>2</v>
      </c>
      <c r="CP218" s="317"/>
      <c r="CQ218" s="10"/>
      <c r="CR218" s="10"/>
      <c r="CS218" s="10">
        <v>0</v>
      </c>
      <c r="CT218" s="10">
        <v>3</v>
      </c>
      <c r="CU218" s="10">
        <v>41</v>
      </c>
      <c r="CV218" s="10">
        <v>0</v>
      </c>
      <c r="CW218" s="10"/>
      <c r="CX218" s="10"/>
      <c r="CY218" s="59">
        <v>0</v>
      </c>
      <c r="CZ218" s="59"/>
      <c r="DA218" s="59"/>
      <c r="DB218" s="10">
        <v>3</v>
      </c>
      <c r="DC218" s="10"/>
      <c r="DD218" s="10"/>
      <c r="DE218" s="10"/>
      <c r="DF218" s="10"/>
      <c r="DG218" s="10">
        <v>1</v>
      </c>
      <c r="DH218" s="10">
        <v>2</v>
      </c>
      <c r="DI218" s="10">
        <v>1</v>
      </c>
      <c r="DJ218" s="59">
        <v>0</v>
      </c>
      <c r="DK218" s="59"/>
      <c r="DL218" s="59"/>
      <c r="DM218" s="10">
        <v>0</v>
      </c>
      <c r="DN218" s="10"/>
      <c r="DO218" s="10">
        <v>0</v>
      </c>
      <c r="DP218" s="10"/>
      <c r="DQ218" s="10"/>
      <c r="DR218" s="10"/>
      <c r="DS218" s="59">
        <v>0</v>
      </c>
      <c r="DT218" s="10">
        <v>0</v>
      </c>
      <c r="DU218" s="10">
        <v>0</v>
      </c>
      <c r="DV218" s="38">
        <f t="shared" si="100"/>
        <v>59</v>
      </c>
      <c r="DW218" s="14" t="str">
        <f t="shared" si="101"/>
        <v/>
      </c>
    </row>
    <row r="219" spans="1:127" customFormat="1">
      <c r="A219" s="210">
        <v>34700</v>
      </c>
      <c r="B219" s="211"/>
      <c r="C219" s="8">
        <v>0</v>
      </c>
      <c r="D219" s="10">
        <v>46</v>
      </c>
      <c r="E219" s="10">
        <v>5</v>
      </c>
      <c r="F219" s="10">
        <v>0</v>
      </c>
      <c r="G219" s="10">
        <v>3</v>
      </c>
      <c r="H219" s="10">
        <v>0</v>
      </c>
      <c r="I219" s="10">
        <v>0</v>
      </c>
      <c r="J219" s="10">
        <v>16</v>
      </c>
      <c r="K219" s="59">
        <v>0</v>
      </c>
      <c r="L219" s="59">
        <v>0</v>
      </c>
      <c r="M219" s="59"/>
      <c r="N219" s="59"/>
      <c r="O219" s="10">
        <v>14</v>
      </c>
      <c r="P219" s="10">
        <v>0</v>
      </c>
      <c r="Q219" s="10">
        <v>0</v>
      </c>
      <c r="R219" s="10">
        <v>1</v>
      </c>
      <c r="S219" s="35">
        <f t="shared" si="99"/>
        <v>85</v>
      </c>
      <c r="T219" s="10">
        <v>38</v>
      </c>
      <c r="U219" s="10"/>
      <c r="V219" s="10"/>
      <c r="W219" s="10">
        <v>5</v>
      </c>
      <c r="X219" s="5">
        <v>0</v>
      </c>
      <c r="Y219" s="10"/>
      <c r="Z219" s="8">
        <v>839939</v>
      </c>
      <c r="AA219" s="10">
        <v>1273230</v>
      </c>
      <c r="AB219" s="10"/>
      <c r="AC219" s="8"/>
      <c r="AD219" s="10"/>
      <c r="AE219" s="35"/>
      <c r="AF219" s="10"/>
      <c r="AG219" s="8">
        <v>106</v>
      </c>
      <c r="AH219" s="10">
        <v>30</v>
      </c>
      <c r="AI219" s="10">
        <v>152</v>
      </c>
      <c r="AJ219" s="5">
        <v>42</v>
      </c>
      <c r="AK219" s="10"/>
      <c r="AL219" s="8"/>
      <c r="AM219" s="10"/>
      <c r="AN219" s="35"/>
      <c r="AO219" s="10"/>
      <c r="AP219" s="10"/>
      <c r="AQ219" s="35"/>
      <c r="AR219" s="59"/>
      <c r="AS219" s="59"/>
      <c r="AT219" s="59"/>
      <c r="AU219" s="59"/>
      <c r="AV219" s="62"/>
      <c r="AW219" s="10"/>
      <c r="AX219" s="326"/>
      <c r="AY219" s="5"/>
      <c r="AZ219" s="10"/>
      <c r="BA219" s="8">
        <v>1594</v>
      </c>
      <c r="BB219" s="10"/>
      <c r="BC219" s="10">
        <v>18636800</v>
      </c>
      <c r="BD219" s="10"/>
      <c r="BE219" s="10">
        <v>90</v>
      </c>
      <c r="BF219" s="10">
        <v>7</v>
      </c>
      <c r="BG219" s="10">
        <v>3</v>
      </c>
      <c r="BH219" s="30"/>
      <c r="BI219" s="10"/>
      <c r="BJ219" s="338"/>
      <c r="BK219" s="338"/>
      <c r="BL219" s="303"/>
      <c r="BM219" s="5">
        <v>4087</v>
      </c>
      <c r="BN219" s="10"/>
      <c r="BO219" s="8">
        <v>270</v>
      </c>
      <c r="BP219" s="5">
        <v>153</v>
      </c>
      <c r="BQ219" s="10"/>
      <c r="BR219" s="29">
        <v>1995</v>
      </c>
      <c r="BS219" s="64">
        <v>1995</v>
      </c>
      <c r="BT219" s="14">
        <v>1</v>
      </c>
      <c r="BU219" s="10"/>
      <c r="BV219" s="8">
        <v>0</v>
      </c>
      <c r="BW219" s="10">
        <v>0</v>
      </c>
      <c r="BX219" s="10"/>
      <c r="BY219" s="10"/>
      <c r="BZ219" s="10"/>
      <c r="CA219" s="10"/>
      <c r="CB219" s="10"/>
      <c r="CC219" s="221"/>
      <c r="CD219" s="10">
        <v>5</v>
      </c>
      <c r="CE219" s="317"/>
      <c r="CF219" s="10">
        <v>0</v>
      </c>
      <c r="CG219" s="10">
        <v>0</v>
      </c>
      <c r="CH219" s="10"/>
      <c r="CI219" s="10">
        <v>0</v>
      </c>
      <c r="CJ219" s="10">
        <v>8</v>
      </c>
      <c r="CK219" s="10"/>
      <c r="CL219" s="10"/>
      <c r="CM219" s="10">
        <v>38</v>
      </c>
      <c r="CN219" s="10"/>
      <c r="CO219" s="10">
        <v>9</v>
      </c>
      <c r="CP219" s="317"/>
      <c r="CQ219" s="10"/>
      <c r="CR219" s="10"/>
      <c r="CS219" s="10">
        <v>0</v>
      </c>
      <c r="CT219" s="10">
        <v>1</v>
      </c>
      <c r="CU219" s="10">
        <v>1</v>
      </c>
      <c r="CV219" s="10">
        <v>1</v>
      </c>
      <c r="CW219" s="10"/>
      <c r="CX219" s="10"/>
      <c r="CY219" s="59">
        <v>0</v>
      </c>
      <c r="CZ219" s="59"/>
      <c r="DA219" s="59"/>
      <c r="DB219" s="10">
        <v>1</v>
      </c>
      <c r="DC219" s="10"/>
      <c r="DD219" s="10"/>
      <c r="DE219" s="10"/>
      <c r="DF219" s="10"/>
      <c r="DG219" s="10">
        <v>2</v>
      </c>
      <c r="DH219" s="10">
        <v>0</v>
      </c>
      <c r="DI219" s="10">
        <v>10</v>
      </c>
      <c r="DJ219" s="59">
        <v>0</v>
      </c>
      <c r="DK219" s="59"/>
      <c r="DL219" s="59"/>
      <c r="DM219" s="10">
        <v>1</v>
      </c>
      <c r="DN219" s="10"/>
      <c r="DO219" s="10">
        <v>0</v>
      </c>
      <c r="DP219" s="10"/>
      <c r="DQ219" s="10"/>
      <c r="DR219" s="10"/>
      <c r="DS219" s="59">
        <v>0</v>
      </c>
      <c r="DT219" s="10">
        <v>7</v>
      </c>
      <c r="DU219" s="10">
        <v>1</v>
      </c>
      <c r="DV219" s="38">
        <f t="shared" si="100"/>
        <v>85</v>
      </c>
      <c r="DW219" s="14" t="str">
        <f t="shared" si="101"/>
        <v/>
      </c>
    </row>
    <row r="220" spans="1:127" customFormat="1">
      <c r="A220" s="210">
        <v>34714</v>
      </c>
      <c r="B220" s="211"/>
      <c r="C220" s="8">
        <v>0</v>
      </c>
      <c r="D220" s="10">
        <v>12</v>
      </c>
      <c r="E220" s="10">
        <v>0</v>
      </c>
      <c r="F220" s="10">
        <v>0</v>
      </c>
      <c r="G220" s="10">
        <v>4</v>
      </c>
      <c r="H220" s="10">
        <v>1</v>
      </c>
      <c r="I220" s="10">
        <v>0</v>
      </c>
      <c r="J220" s="10">
        <v>0</v>
      </c>
      <c r="K220" s="59">
        <v>0</v>
      </c>
      <c r="L220" s="59">
        <v>0</v>
      </c>
      <c r="M220" s="59"/>
      <c r="N220" s="59"/>
      <c r="O220" s="10">
        <v>3</v>
      </c>
      <c r="P220" s="10">
        <v>0</v>
      </c>
      <c r="Q220" s="10">
        <v>0</v>
      </c>
      <c r="R220" s="10">
        <v>0</v>
      </c>
      <c r="S220" s="35">
        <v>20</v>
      </c>
      <c r="T220" s="10">
        <v>6</v>
      </c>
      <c r="U220" s="10"/>
      <c r="V220" s="10"/>
      <c r="W220" s="10">
        <v>0</v>
      </c>
      <c r="X220" s="5">
        <v>3</v>
      </c>
      <c r="Y220" s="10"/>
      <c r="Z220" s="8">
        <v>541143</v>
      </c>
      <c r="AA220" s="10">
        <v>608518</v>
      </c>
      <c r="AB220" s="10"/>
      <c r="AC220" s="8"/>
      <c r="AD220" s="10"/>
      <c r="AE220" s="35"/>
      <c r="AF220" s="10"/>
      <c r="AG220" s="8">
        <v>66</v>
      </c>
      <c r="AH220" s="10">
        <v>94</v>
      </c>
      <c r="AI220" s="10">
        <v>170</v>
      </c>
      <c r="AJ220" s="5">
        <v>24</v>
      </c>
      <c r="AK220" s="10"/>
      <c r="AL220" s="8"/>
      <c r="AM220" s="10"/>
      <c r="AN220" s="35"/>
      <c r="AO220" s="10"/>
      <c r="AP220" s="10"/>
      <c r="AQ220" s="35"/>
      <c r="AR220" s="59"/>
      <c r="AS220" s="59"/>
      <c r="AT220" s="59"/>
      <c r="AU220" s="59"/>
      <c r="AV220" s="62"/>
      <c r="AW220" s="10"/>
      <c r="AX220" s="326"/>
      <c r="AY220" s="5"/>
      <c r="AZ220" s="10"/>
      <c r="BA220" s="8"/>
      <c r="BB220" s="10"/>
      <c r="BC220" s="10"/>
      <c r="BD220" s="10"/>
      <c r="BE220" s="10"/>
      <c r="BF220" s="10"/>
      <c r="BG220" s="10"/>
      <c r="BH220" s="30"/>
      <c r="BI220" s="10"/>
      <c r="BJ220" s="338"/>
      <c r="BK220" s="338"/>
      <c r="BL220" s="303"/>
      <c r="BM220" s="5"/>
      <c r="BN220" s="10"/>
      <c r="BO220" s="8"/>
      <c r="BP220" s="5"/>
      <c r="BQ220" s="10"/>
      <c r="BR220" s="29">
        <v>1995</v>
      </c>
      <c r="BS220" s="64">
        <v>1995</v>
      </c>
      <c r="BT220" s="14">
        <v>2</v>
      </c>
      <c r="BU220" s="10"/>
      <c r="BV220" s="8">
        <v>3</v>
      </c>
      <c r="BW220" s="10">
        <v>0</v>
      </c>
      <c r="BX220" s="10"/>
      <c r="BY220" s="10"/>
      <c r="BZ220" s="10"/>
      <c r="CA220" s="10"/>
      <c r="CB220" s="10"/>
      <c r="CC220" s="221"/>
      <c r="CD220" s="10">
        <v>1</v>
      </c>
      <c r="CE220" s="317"/>
      <c r="CF220" s="10">
        <v>0</v>
      </c>
      <c r="CG220" s="10">
        <v>0</v>
      </c>
      <c r="CH220" s="10"/>
      <c r="CI220" s="10">
        <v>0</v>
      </c>
      <c r="CJ220" s="10">
        <v>4</v>
      </c>
      <c r="CK220" s="10"/>
      <c r="CL220" s="10"/>
      <c r="CM220" s="10">
        <v>0</v>
      </c>
      <c r="CN220" s="10"/>
      <c r="CO220" s="10">
        <v>2</v>
      </c>
      <c r="CP220" s="317"/>
      <c r="CQ220" s="10"/>
      <c r="CR220" s="10"/>
      <c r="CS220" s="10">
        <v>0</v>
      </c>
      <c r="CT220" s="10">
        <v>0</v>
      </c>
      <c r="CU220" s="10">
        <v>0</v>
      </c>
      <c r="CV220" s="10">
        <v>4</v>
      </c>
      <c r="CW220" s="10"/>
      <c r="CX220" s="10"/>
      <c r="CY220" s="59">
        <v>0</v>
      </c>
      <c r="CZ220" s="59"/>
      <c r="DA220" s="59"/>
      <c r="DB220" s="10">
        <v>3</v>
      </c>
      <c r="DC220" s="10"/>
      <c r="DD220" s="10"/>
      <c r="DE220" s="10"/>
      <c r="DF220" s="10"/>
      <c r="DG220" s="10">
        <v>0</v>
      </c>
      <c r="DH220" s="10">
        <v>0</v>
      </c>
      <c r="DI220" s="10">
        <v>0</v>
      </c>
      <c r="DJ220" s="59">
        <v>0</v>
      </c>
      <c r="DK220" s="59"/>
      <c r="DL220" s="59"/>
      <c r="DM220" s="10">
        <v>2</v>
      </c>
      <c r="DN220" s="10"/>
      <c r="DO220" s="10">
        <v>0</v>
      </c>
      <c r="DP220" s="10"/>
      <c r="DQ220" s="10"/>
      <c r="DR220" s="10"/>
      <c r="DS220" s="59">
        <v>0</v>
      </c>
      <c r="DT220" s="10">
        <v>1</v>
      </c>
      <c r="DU220" s="10">
        <v>0</v>
      </c>
      <c r="DV220" s="38">
        <f t="shared" si="100"/>
        <v>20</v>
      </c>
      <c r="DW220" s="14" t="str">
        <f t="shared" si="101"/>
        <v/>
      </c>
    </row>
    <row r="221" spans="1:127" customFormat="1">
      <c r="A221" s="210">
        <v>34731</v>
      </c>
      <c r="B221" s="211"/>
      <c r="C221" s="8">
        <v>9</v>
      </c>
      <c r="D221" s="10">
        <v>34</v>
      </c>
      <c r="E221" s="10">
        <v>3</v>
      </c>
      <c r="F221" s="10">
        <v>0</v>
      </c>
      <c r="G221" s="10">
        <v>2</v>
      </c>
      <c r="H221" s="10">
        <v>1</v>
      </c>
      <c r="I221" s="10">
        <v>0</v>
      </c>
      <c r="J221" s="10">
        <v>0</v>
      </c>
      <c r="K221" s="59">
        <v>0</v>
      </c>
      <c r="L221" s="59">
        <v>0</v>
      </c>
      <c r="M221" s="59"/>
      <c r="N221" s="59"/>
      <c r="O221" s="10">
        <v>7</v>
      </c>
      <c r="P221" s="10">
        <v>0</v>
      </c>
      <c r="Q221" s="10">
        <v>0</v>
      </c>
      <c r="R221" s="10">
        <v>0</v>
      </c>
      <c r="S221" s="35">
        <f t="shared" ref="S221:S230" si="102">SUM(C221:R221)</f>
        <v>56</v>
      </c>
      <c r="T221" s="10">
        <v>8</v>
      </c>
      <c r="U221" s="10"/>
      <c r="V221" s="10"/>
      <c r="W221" s="10">
        <v>9</v>
      </c>
      <c r="X221" s="5">
        <v>0</v>
      </c>
      <c r="Y221" s="10"/>
      <c r="Z221" s="8">
        <v>1480884</v>
      </c>
      <c r="AA221" s="10">
        <v>2253545</v>
      </c>
      <c r="AB221" s="10"/>
      <c r="AC221" s="8"/>
      <c r="AD221" s="10"/>
      <c r="AE221" s="35"/>
      <c r="AF221" s="10"/>
      <c r="AG221" s="8">
        <v>208</v>
      </c>
      <c r="AH221" s="10">
        <v>1</v>
      </c>
      <c r="AI221" s="10">
        <v>220</v>
      </c>
      <c r="AJ221" s="5">
        <v>38</v>
      </c>
      <c r="AK221" s="10"/>
      <c r="AL221" s="8"/>
      <c r="AM221" s="10"/>
      <c r="AN221" s="35"/>
      <c r="AO221" s="10"/>
      <c r="AP221" s="10"/>
      <c r="AQ221" s="35"/>
      <c r="AR221" s="59"/>
      <c r="AS221" s="59"/>
      <c r="AT221" s="59"/>
      <c r="AU221" s="59"/>
      <c r="AV221" s="62"/>
      <c r="AW221" s="10"/>
      <c r="AX221" s="326"/>
      <c r="AY221" s="5"/>
      <c r="AZ221" s="10"/>
      <c r="BA221" s="8">
        <v>1591</v>
      </c>
      <c r="BB221" s="10"/>
      <c r="BC221" s="10">
        <v>18626560</v>
      </c>
      <c r="BD221" s="10"/>
      <c r="BE221" s="10">
        <v>89</v>
      </c>
      <c r="BF221" s="10">
        <v>2</v>
      </c>
      <c r="BG221" s="10">
        <v>5</v>
      </c>
      <c r="BH221" s="30"/>
      <c r="BI221" s="10"/>
      <c r="BJ221" s="338"/>
      <c r="BK221" s="338"/>
      <c r="BL221" s="303"/>
      <c r="BM221" s="5"/>
      <c r="BN221" s="10"/>
      <c r="BO221" s="8"/>
      <c r="BP221" s="5"/>
      <c r="BQ221" s="10"/>
      <c r="BR221" s="29">
        <v>1995</v>
      </c>
      <c r="BS221" s="64">
        <v>1995</v>
      </c>
      <c r="BT221" s="14">
        <v>3</v>
      </c>
      <c r="BU221" s="10"/>
      <c r="BV221" s="8">
        <v>6</v>
      </c>
      <c r="BW221" s="10">
        <v>0</v>
      </c>
      <c r="BX221" s="10"/>
      <c r="BY221" s="10"/>
      <c r="BZ221" s="10"/>
      <c r="CA221" s="10"/>
      <c r="CB221" s="10"/>
      <c r="CC221" s="221"/>
      <c r="CD221" s="10">
        <v>2</v>
      </c>
      <c r="CE221" s="317"/>
      <c r="CF221" s="10">
        <v>0</v>
      </c>
      <c r="CG221" s="10">
        <v>0</v>
      </c>
      <c r="CH221" s="10"/>
      <c r="CI221" s="10">
        <v>2</v>
      </c>
      <c r="CJ221" s="10">
        <v>7</v>
      </c>
      <c r="CK221" s="10"/>
      <c r="CL221" s="10"/>
      <c r="CM221" s="10">
        <v>0</v>
      </c>
      <c r="CN221" s="10"/>
      <c r="CO221" s="10">
        <v>34</v>
      </c>
      <c r="CP221" s="317"/>
      <c r="CQ221" s="10"/>
      <c r="CR221" s="10"/>
      <c r="CS221" s="10">
        <v>0</v>
      </c>
      <c r="CT221" s="10">
        <v>0</v>
      </c>
      <c r="CU221" s="10">
        <v>0</v>
      </c>
      <c r="CV221" s="10">
        <v>0</v>
      </c>
      <c r="CW221" s="10"/>
      <c r="CX221" s="10"/>
      <c r="CY221" s="59">
        <v>0</v>
      </c>
      <c r="CZ221" s="59"/>
      <c r="DA221" s="59"/>
      <c r="DB221" s="10">
        <v>1</v>
      </c>
      <c r="DC221" s="10"/>
      <c r="DD221" s="10"/>
      <c r="DE221" s="10"/>
      <c r="DF221" s="10"/>
      <c r="DG221" s="10">
        <v>0</v>
      </c>
      <c r="DH221" s="10">
        <v>0</v>
      </c>
      <c r="DI221" s="10">
        <v>1</v>
      </c>
      <c r="DJ221" s="59">
        <v>0</v>
      </c>
      <c r="DK221" s="59"/>
      <c r="DL221" s="59"/>
      <c r="DM221" s="10">
        <v>0</v>
      </c>
      <c r="DN221" s="10"/>
      <c r="DO221" s="10">
        <v>0</v>
      </c>
      <c r="DP221" s="10"/>
      <c r="DQ221" s="10"/>
      <c r="DR221" s="10"/>
      <c r="DS221" s="59">
        <v>0</v>
      </c>
      <c r="DT221" s="10">
        <v>3</v>
      </c>
      <c r="DU221" s="10">
        <v>0</v>
      </c>
      <c r="DV221" s="38">
        <f t="shared" si="100"/>
        <v>56</v>
      </c>
      <c r="DW221" s="14" t="str">
        <f t="shared" si="101"/>
        <v/>
      </c>
    </row>
    <row r="222" spans="1:127" customFormat="1">
      <c r="A222" s="210">
        <v>34745</v>
      </c>
      <c r="B222" s="211"/>
      <c r="C222" s="8">
        <v>2</v>
      </c>
      <c r="D222" s="10">
        <v>15</v>
      </c>
      <c r="E222" s="10">
        <v>3</v>
      </c>
      <c r="F222" s="10">
        <v>1</v>
      </c>
      <c r="G222" s="10">
        <v>1</v>
      </c>
      <c r="H222" s="10">
        <v>1</v>
      </c>
      <c r="I222" s="10">
        <v>0</v>
      </c>
      <c r="J222" s="10">
        <v>0</v>
      </c>
      <c r="K222" s="59">
        <v>0</v>
      </c>
      <c r="L222" s="59">
        <v>0</v>
      </c>
      <c r="M222" s="59"/>
      <c r="N222" s="59"/>
      <c r="O222" s="10">
        <v>5</v>
      </c>
      <c r="P222" s="10">
        <v>0</v>
      </c>
      <c r="Q222" s="10">
        <v>0</v>
      </c>
      <c r="R222" s="10">
        <v>0</v>
      </c>
      <c r="S222" s="35">
        <f t="shared" si="102"/>
        <v>28</v>
      </c>
      <c r="T222" s="10">
        <v>6</v>
      </c>
      <c r="U222" s="10"/>
      <c r="V222" s="10"/>
      <c r="W222" s="10">
        <v>0</v>
      </c>
      <c r="X222" s="5">
        <v>1</v>
      </c>
      <c r="Y222" s="10"/>
      <c r="Z222" s="8">
        <v>725204</v>
      </c>
      <c r="AA222" s="10">
        <v>508860</v>
      </c>
      <c r="AB222" s="10"/>
      <c r="AC222" s="8"/>
      <c r="AD222" s="10"/>
      <c r="AE222" s="35"/>
      <c r="AF222" s="10"/>
      <c r="AG222" s="8">
        <v>71</v>
      </c>
      <c r="AH222" s="10">
        <v>14</v>
      </c>
      <c r="AI222" s="10">
        <v>98</v>
      </c>
      <c r="AJ222" s="5">
        <v>32</v>
      </c>
      <c r="AK222" s="10"/>
      <c r="AL222" s="8">
        <f>26+7</f>
        <v>33</v>
      </c>
      <c r="AM222" s="10">
        <v>145</v>
      </c>
      <c r="AN222" s="35">
        <f>SUM(AL222:AM222)</f>
        <v>178</v>
      </c>
      <c r="AO222" s="10">
        <v>167</v>
      </c>
      <c r="AP222" s="10">
        <v>23</v>
      </c>
      <c r="AQ222" s="35">
        <f>SUM(AO222:AP222)</f>
        <v>190</v>
      </c>
      <c r="AR222" s="59"/>
      <c r="AS222" s="59"/>
      <c r="AT222" s="59"/>
      <c r="AU222" s="59"/>
      <c r="AV222" s="62"/>
      <c r="AW222" s="10"/>
      <c r="AX222" s="326"/>
      <c r="AY222" s="5"/>
      <c r="AZ222" s="10"/>
      <c r="BA222" s="8"/>
      <c r="BB222" s="10"/>
      <c r="BC222" s="10"/>
      <c r="BD222" s="10"/>
      <c r="BE222" s="10"/>
      <c r="BF222" s="10"/>
      <c r="BG222" s="10"/>
      <c r="BH222" s="30"/>
      <c r="BI222" s="10"/>
      <c r="BJ222" s="338"/>
      <c r="BK222" s="338"/>
      <c r="BL222" s="303"/>
      <c r="BM222" s="5"/>
      <c r="BN222" s="10"/>
      <c r="BO222" s="8"/>
      <c r="BP222" s="5"/>
      <c r="BQ222" s="10"/>
      <c r="BR222" s="29">
        <v>1995</v>
      </c>
      <c r="BS222" s="64">
        <v>1995</v>
      </c>
      <c r="BT222" s="14">
        <v>4</v>
      </c>
      <c r="BU222" s="10"/>
      <c r="BV222" s="8">
        <v>3</v>
      </c>
      <c r="BW222" s="10">
        <v>0</v>
      </c>
      <c r="BX222" s="10"/>
      <c r="BY222" s="10"/>
      <c r="BZ222" s="10"/>
      <c r="CA222" s="10"/>
      <c r="CB222" s="10"/>
      <c r="CC222" s="221"/>
      <c r="CD222" s="10">
        <v>7</v>
      </c>
      <c r="CE222" s="317"/>
      <c r="CF222" s="10">
        <v>0</v>
      </c>
      <c r="CG222" s="10">
        <v>0</v>
      </c>
      <c r="CH222" s="10"/>
      <c r="CI222" s="10">
        <v>3</v>
      </c>
      <c r="CJ222" s="10">
        <v>2</v>
      </c>
      <c r="CK222" s="10"/>
      <c r="CL222" s="10"/>
      <c r="CM222" s="10">
        <v>0</v>
      </c>
      <c r="CN222" s="10"/>
      <c r="CO222" s="10">
        <v>2</v>
      </c>
      <c r="CP222" s="317"/>
      <c r="CQ222" s="10"/>
      <c r="CR222" s="10"/>
      <c r="CS222" s="10">
        <v>0</v>
      </c>
      <c r="CT222" s="10">
        <v>1</v>
      </c>
      <c r="CU222" s="10">
        <v>0</v>
      </c>
      <c r="CV222" s="10">
        <v>2</v>
      </c>
      <c r="CW222" s="10"/>
      <c r="CX222" s="10"/>
      <c r="CY222" s="59">
        <v>0</v>
      </c>
      <c r="CZ222" s="59"/>
      <c r="DA222" s="59"/>
      <c r="DB222" s="10">
        <v>3</v>
      </c>
      <c r="DC222" s="10"/>
      <c r="DD222" s="10"/>
      <c r="DE222" s="10"/>
      <c r="DF222" s="10"/>
      <c r="DG222" s="10">
        <v>1</v>
      </c>
      <c r="DH222" s="10">
        <v>0</v>
      </c>
      <c r="DI222" s="10">
        <v>0</v>
      </c>
      <c r="DJ222" s="59">
        <v>0</v>
      </c>
      <c r="DK222" s="59"/>
      <c r="DL222" s="59"/>
      <c r="DM222" s="10">
        <v>4</v>
      </c>
      <c r="DN222" s="10"/>
      <c r="DO222" s="10">
        <v>0</v>
      </c>
      <c r="DP222" s="10"/>
      <c r="DQ222" s="10"/>
      <c r="DR222" s="10"/>
      <c r="DS222" s="59">
        <v>0</v>
      </c>
      <c r="DT222" s="10">
        <v>0</v>
      </c>
      <c r="DU222" s="10">
        <v>0</v>
      </c>
      <c r="DV222" s="38">
        <f t="shared" si="100"/>
        <v>28</v>
      </c>
      <c r="DW222" s="14" t="str">
        <f t="shared" si="101"/>
        <v/>
      </c>
    </row>
    <row r="223" spans="1:127" customFormat="1">
      <c r="A223" s="210">
        <v>34759</v>
      </c>
      <c r="B223" s="211"/>
      <c r="C223" s="8">
        <v>3</v>
      </c>
      <c r="D223" s="10">
        <v>11</v>
      </c>
      <c r="E223" s="10">
        <v>7</v>
      </c>
      <c r="F223" s="10">
        <v>0</v>
      </c>
      <c r="G223" s="10">
        <v>6</v>
      </c>
      <c r="H223" s="10">
        <v>0</v>
      </c>
      <c r="I223" s="10">
        <v>1</v>
      </c>
      <c r="J223" s="10">
        <v>2</v>
      </c>
      <c r="K223" s="59">
        <v>0</v>
      </c>
      <c r="L223" s="59">
        <v>0</v>
      </c>
      <c r="M223" s="59"/>
      <c r="N223" s="59"/>
      <c r="O223" s="10">
        <v>7</v>
      </c>
      <c r="P223" s="10">
        <v>0</v>
      </c>
      <c r="Q223" s="10">
        <v>0</v>
      </c>
      <c r="R223" s="10">
        <v>0</v>
      </c>
      <c r="S223" s="35">
        <f t="shared" si="102"/>
        <v>37</v>
      </c>
      <c r="T223" s="10">
        <v>7</v>
      </c>
      <c r="U223" s="10"/>
      <c r="V223" s="10"/>
      <c r="W223" s="10">
        <v>0</v>
      </c>
      <c r="X223" s="5">
        <v>1</v>
      </c>
      <c r="Y223" s="10"/>
      <c r="Z223" s="8">
        <v>658966</v>
      </c>
      <c r="AA223" s="10">
        <v>691319</v>
      </c>
      <c r="AB223" s="10"/>
      <c r="AC223" s="8"/>
      <c r="AD223" s="10"/>
      <c r="AE223" s="35"/>
      <c r="AF223" s="10"/>
      <c r="AG223" s="8">
        <v>61</v>
      </c>
      <c r="AH223" s="10">
        <v>15</v>
      </c>
      <c r="AI223" s="10">
        <v>88</v>
      </c>
      <c r="AJ223" s="5">
        <v>28</v>
      </c>
      <c r="AK223" s="10"/>
      <c r="AL223" s="8"/>
      <c r="AM223" s="10"/>
      <c r="AN223" s="35"/>
      <c r="AO223" s="10"/>
      <c r="AP223" s="10"/>
      <c r="AQ223" s="35"/>
      <c r="AR223" s="59"/>
      <c r="AS223" s="59"/>
      <c r="AT223" s="59"/>
      <c r="AU223" s="59"/>
      <c r="AV223" s="62"/>
      <c r="AW223" s="10"/>
      <c r="AX223" s="326"/>
      <c r="AY223" s="5"/>
      <c r="AZ223" s="10"/>
      <c r="BA223" s="8">
        <v>1592</v>
      </c>
      <c r="BB223" s="10"/>
      <c r="BC223" s="10">
        <v>18702336</v>
      </c>
      <c r="BD223" s="10"/>
      <c r="BE223" s="10">
        <v>22</v>
      </c>
      <c r="BF223" s="10">
        <v>1</v>
      </c>
      <c r="BG223" s="10">
        <v>0</v>
      </c>
      <c r="BH223" s="30"/>
      <c r="BI223" s="10"/>
      <c r="BJ223" s="338"/>
      <c r="BK223" s="338"/>
      <c r="BL223" s="303"/>
      <c r="BM223" s="5"/>
      <c r="BN223" s="10"/>
      <c r="BO223" s="8"/>
      <c r="BP223" s="5"/>
      <c r="BQ223" s="10"/>
      <c r="BR223" s="29">
        <v>1995</v>
      </c>
      <c r="BS223" s="64">
        <v>1995</v>
      </c>
      <c r="BT223" s="14">
        <v>5</v>
      </c>
      <c r="BU223" s="10"/>
      <c r="BV223" s="8">
        <v>2</v>
      </c>
      <c r="BW223" s="10">
        <v>0</v>
      </c>
      <c r="BX223" s="10"/>
      <c r="BY223" s="10"/>
      <c r="BZ223" s="10"/>
      <c r="CA223" s="10"/>
      <c r="CB223" s="10"/>
      <c r="CC223" s="221"/>
      <c r="CD223" s="10">
        <v>4</v>
      </c>
      <c r="CE223" s="317"/>
      <c r="CF223" s="10">
        <v>0</v>
      </c>
      <c r="CG223" s="10">
        <v>0</v>
      </c>
      <c r="CH223" s="10"/>
      <c r="CI223" s="10">
        <v>9</v>
      </c>
      <c r="CJ223" s="10">
        <v>5</v>
      </c>
      <c r="CK223" s="10"/>
      <c r="CL223" s="10"/>
      <c r="CM223" s="10">
        <v>0</v>
      </c>
      <c r="CN223" s="10"/>
      <c r="CO223" s="10">
        <v>1</v>
      </c>
      <c r="CP223" s="317"/>
      <c r="CQ223" s="10"/>
      <c r="CR223" s="10"/>
      <c r="CS223" s="10">
        <v>0</v>
      </c>
      <c r="CT223" s="10">
        <v>4</v>
      </c>
      <c r="CU223" s="10">
        <v>0</v>
      </c>
      <c r="CV223" s="10">
        <v>3</v>
      </c>
      <c r="CW223" s="10"/>
      <c r="CX223" s="10"/>
      <c r="CY223" s="59">
        <v>0</v>
      </c>
      <c r="CZ223" s="59"/>
      <c r="DA223" s="59"/>
      <c r="DB223" s="10">
        <v>3</v>
      </c>
      <c r="DC223" s="10"/>
      <c r="DD223" s="10"/>
      <c r="DE223" s="10"/>
      <c r="DF223" s="10"/>
      <c r="DG223" s="10">
        <v>0</v>
      </c>
      <c r="DH223" s="10">
        <v>0</v>
      </c>
      <c r="DI223" s="10">
        <v>0</v>
      </c>
      <c r="DJ223" s="59">
        <v>0</v>
      </c>
      <c r="DK223" s="59"/>
      <c r="DL223" s="59"/>
      <c r="DM223" s="10">
        <v>0</v>
      </c>
      <c r="DN223" s="10"/>
      <c r="DO223" s="10">
        <v>0</v>
      </c>
      <c r="DP223" s="10"/>
      <c r="DQ223" s="10"/>
      <c r="DR223" s="10"/>
      <c r="DS223" s="59">
        <v>0</v>
      </c>
      <c r="DT223" s="10">
        <v>6</v>
      </c>
      <c r="DU223" s="10">
        <v>0</v>
      </c>
      <c r="DV223" s="38">
        <f t="shared" si="100"/>
        <v>37</v>
      </c>
      <c r="DW223" s="14" t="str">
        <f t="shared" si="101"/>
        <v/>
      </c>
    </row>
    <row r="224" spans="1:127" customFormat="1">
      <c r="A224" s="210">
        <v>34773</v>
      </c>
      <c r="B224" s="211"/>
      <c r="C224" s="8">
        <v>0</v>
      </c>
      <c r="D224" s="10">
        <v>7</v>
      </c>
      <c r="E224" s="10">
        <v>1</v>
      </c>
      <c r="F224" s="10">
        <v>1</v>
      </c>
      <c r="G224" s="10">
        <v>2</v>
      </c>
      <c r="H224" s="10">
        <v>0</v>
      </c>
      <c r="I224" s="10">
        <v>0</v>
      </c>
      <c r="J224" s="10">
        <v>4</v>
      </c>
      <c r="K224" s="59">
        <v>0</v>
      </c>
      <c r="L224" s="59">
        <v>0</v>
      </c>
      <c r="M224" s="59"/>
      <c r="N224" s="59"/>
      <c r="O224" s="10">
        <v>2</v>
      </c>
      <c r="P224" s="10">
        <v>0</v>
      </c>
      <c r="Q224" s="10">
        <v>0</v>
      </c>
      <c r="R224" s="10">
        <v>0</v>
      </c>
      <c r="S224" s="35">
        <f t="shared" si="102"/>
        <v>17</v>
      </c>
      <c r="T224" s="10">
        <v>4</v>
      </c>
      <c r="U224" s="10"/>
      <c r="V224" s="10"/>
      <c r="W224" s="10">
        <v>0</v>
      </c>
      <c r="X224" s="5">
        <v>1</v>
      </c>
      <c r="Y224" s="10"/>
      <c r="Z224" s="8">
        <v>884458</v>
      </c>
      <c r="AA224" s="10">
        <v>700391</v>
      </c>
      <c r="AB224" s="10"/>
      <c r="AC224" s="8"/>
      <c r="AD224" s="10"/>
      <c r="AE224" s="35"/>
      <c r="AF224" s="10"/>
      <c r="AG224" s="8">
        <v>71</v>
      </c>
      <c r="AH224" s="10">
        <v>22</v>
      </c>
      <c r="AI224" s="10">
        <v>120</v>
      </c>
      <c r="AJ224" s="5">
        <v>24</v>
      </c>
      <c r="AK224" s="10"/>
      <c r="AL224" s="8"/>
      <c r="AM224" s="10"/>
      <c r="AN224" s="35"/>
      <c r="AO224" s="10"/>
      <c r="AP224" s="10"/>
      <c r="AQ224" s="35"/>
      <c r="AR224" s="59"/>
      <c r="AS224" s="59"/>
      <c r="AT224" s="59"/>
      <c r="AU224" s="59"/>
      <c r="AV224" s="62"/>
      <c r="AW224" s="10"/>
      <c r="AX224" s="326"/>
      <c r="AY224" s="5"/>
      <c r="AZ224" s="10"/>
      <c r="BA224" s="8"/>
      <c r="BB224" s="10"/>
      <c r="BC224" s="10"/>
      <c r="BD224" s="10"/>
      <c r="BE224" s="10"/>
      <c r="BF224" s="10"/>
      <c r="BG224" s="10"/>
      <c r="BH224" s="30"/>
      <c r="BI224" s="10"/>
      <c r="BJ224" s="338"/>
      <c r="BK224" s="338"/>
      <c r="BL224" s="303"/>
      <c r="BM224" s="5"/>
      <c r="BN224" s="10"/>
      <c r="BO224" s="8"/>
      <c r="BP224" s="5"/>
      <c r="BQ224" s="10"/>
      <c r="BR224" s="29">
        <v>1995</v>
      </c>
      <c r="BS224" s="64">
        <v>1995</v>
      </c>
      <c r="BT224" s="14">
        <v>6</v>
      </c>
      <c r="BU224" s="10"/>
      <c r="BV224" s="8">
        <v>0</v>
      </c>
      <c r="BW224" s="10">
        <v>1</v>
      </c>
      <c r="BX224" s="10"/>
      <c r="BY224" s="10"/>
      <c r="BZ224" s="10"/>
      <c r="CA224" s="10"/>
      <c r="CB224" s="10"/>
      <c r="CC224" s="221"/>
      <c r="CD224" s="10">
        <v>3</v>
      </c>
      <c r="CE224" s="317"/>
      <c r="CF224" s="10">
        <v>0</v>
      </c>
      <c r="CG224" s="10">
        <v>0</v>
      </c>
      <c r="CH224" s="10"/>
      <c r="CI224" s="10">
        <v>0</v>
      </c>
      <c r="CJ224" s="10">
        <v>3</v>
      </c>
      <c r="CK224" s="10"/>
      <c r="CL224" s="10"/>
      <c r="CM224" s="10">
        <v>0</v>
      </c>
      <c r="CN224" s="10"/>
      <c r="CO224" s="10">
        <v>0</v>
      </c>
      <c r="CP224" s="317"/>
      <c r="CQ224" s="10"/>
      <c r="CR224" s="10"/>
      <c r="CS224" s="10">
        <v>0</v>
      </c>
      <c r="CT224" s="10">
        <v>3</v>
      </c>
      <c r="CU224" s="10">
        <v>0</v>
      </c>
      <c r="CV224" s="10">
        <v>0</v>
      </c>
      <c r="CW224" s="10"/>
      <c r="CX224" s="10"/>
      <c r="CY224" s="59">
        <v>0</v>
      </c>
      <c r="CZ224" s="59"/>
      <c r="DA224" s="59"/>
      <c r="DB224" s="10">
        <v>3</v>
      </c>
      <c r="DC224" s="10"/>
      <c r="DD224" s="10"/>
      <c r="DE224" s="10"/>
      <c r="DF224" s="10"/>
      <c r="DG224" s="10">
        <v>0</v>
      </c>
      <c r="DH224" s="10">
        <v>0</v>
      </c>
      <c r="DI224" s="10">
        <v>0</v>
      </c>
      <c r="DJ224" s="59">
        <v>0</v>
      </c>
      <c r="DK224" s="59"/>
      <c r="DL224" s="59"/>
      <c r="DM224" s="10">
        <v>0</v>
      </c>
      <c r="DN224" s="10"/>
      <c r="DO224" s="10">
        <v>0</v>
      </c>
      <c r="DP224" s="10"/>
      <c r="DQ224" s="10"/>
      <c r="DR224" s="10"/>
      <c r="DS224" s="59">
        <v>0</v>
      </c>
      <c r="DT224" s="10">
        <v>4</v>
      </c>
      <c r="DU224" s="10">
        <v>0</v>
      </c>
      <c r="DV224" s="38">
        <f t="shared" si="100"/>
        <v>17</v>
      </c>
      <c r="DW224" s="14" t="str">
        <f t="shared" si="101"/>
        <v/>
      </c>
    </row>
    <row r="225" spans="1:127" customFormat="1">
      <c r="A225" s="210">
        <v>34790</v>
      </c>
      <c r="B225" s="211"/>
      <c r="C225" s="8">
        <v>0</v>
      </c>
      <c r="D225" s="10">
        <v>8</v>
      </c>
      <c r="E225" s="10">
        <v>0</v>
      </c>
      <c r="F225" s="10">
        <v>0</v>
      </c>
      <c r="G225" s="10">
        <v>0</v>
      </c>
      <c r="H225" s="10">
        <v>1</v>
      </c>
      <c r="I225" s="10">
        <v>0</v>
      </c>
      <c r="J225" s="10">
        <v>1</v>
      </c>
      <c r="K225" s="59">
        <v>0</v>
      </c>
      <c r="L225" s="59">
        <v>0</v>
      </c>
      <c r="M225" s="59"/>
      <c r="N225" s="59"/>
      <c r="O225" s="10">
        <v>6</v>
      </c>
      <c r="P225" s="10">
        <v>0</v>
      </c>
      <c r="Q225" s="10">
        <v>0</v>
      </c>
      <c r="R225" s="10">
        <v>0</v>
      </c>
      <c r="S225" s="35">
        <f t="shared" si="102"/>
        <v>16</v>
      </c>
      <c r="T225" s="10">
        <v>0</v>
      </c>
      <c r="U225" s="10"/>
      <c r="V225" s="10"/>
      <c r="W225" s="10">
        <v>0</v>
      </c>
      <c r="X225" s="5">
        <v>1</v>
      </c>
      <c r="Y225" s="10"/>
      <c r="Z225" s="8">
        <v>624334</v>
      </c>
      <c r="AA225" s="10">
        <v>479026</v>
      </c>
      <c r="AB225" s="10"/>
      <c r="AC225" s="8"/>
      <c r="AD225" s="10"/>
      <c r="AE225" s="35"/>
      <c r="AF225" s="10"/>
      <c r="AG225" s="8">
        <v>19</v>
      </c>
      <c r="AH225" s="10">
        <v>25</v>
      </c>
      <c r="AI225" s="10">
        <v>80</v>
      </c>
      <c r="AJ225" s="5">
        <v>20</v>
      </c>
      <c r="AK225" s="10"/>
      <c r="AL225" s="8"/>
      <c r="AM225" s="10"/>
      <c r="AN225" s="35"/>
      <c r="AO225" s="10"/>
      <c r="AP225" s="10"/>
      <c r="AQ225" s="35"/>
      <c r="AR225" s="59"/>
      <c r="AS225" s="59"/>
      <c r="AT225" s="59"/>
      <c r="AU225" s="59"/>
      <c r="AV225" s="62"/>
      <c r="AW225" s="10"/>
      <c r="AX225" s="326"/>
      <c r="AY225" s="5"/>
      <c r="AZ225" s="10"/>
      <c r="BA225" s="8">
        <v>1599</v>
      </c>
      <c r="BB225" s="10"/>
      <c r="BC225" s="10">
        <v>18622464</v>
      </c>
      <c r="BD225" s="10"/>
      <c r="BE225" s="10">
        <v>61</v>
      </c>
      <c r="BF225" s="10">
        <v>10</v>
      </c>
      <c r="BG225" s="10">
        <v>3</v>
      </c>
      <c r="BH225" s="30"/>
      <c r="BI225" s="10"/>
      <c r="BJ225" s="338"/>
      <c r="BK225" s="338"/>
      <c r="BL225" s="303"/>
      <c r="BM225" s="5"/>
      <c r="BN225" s="10"/>
      <c r="BO225" s="8"/>
      <c r="BP225" s="5"/>
      <c r="BQ225" s="10"/>
      <c r="BR225" s="29">
        <v>1995</v>
      </c>
      <c r="BS225" s="64">
        <v>1995</v>
      </c>
      <c r="BT225" s="14">
        <v>7</v>
      </c>
      <c r="BU225" s="10"/>
      <c r="BV225" s="8">
        <v>0</v>
      </c>
      <c r="BW225" s="10">
        <v>0</v>
      </c>
      <c r="BX225" s="10"/>
      <c r="BY225" s="10"/>
      <c r="BZ225" s="10"/>
      <c r="CA225" s="10"/>
      <c r="CB225" s="10"/>
      <c r="CC225" s="221"/>
      <c r="CD225" s="10">
        <v>2</v>
      </c>
      <c r="CE225" s="317"/>
      <c r="CF225" s="10">
        <v>1</v>
      </c>
      <c r="CG225" s="10">
        <v>0</v>
      </c>
      <c r="CH225" s="10"/>
      <c r="CI225" s="10">
        <v>1</v>
      </c>
      <c r="CJ225" s="10">
        <v>1</v>
      </c>
      <c r="CK225" s="10"/>
      <c r="CL225" s="10"/>
      <c r="CM225" s="10">
        <v>0</v>
      </c>
      <c r="CN225" s="10"/>
      <c r="CO225" s="10">
        <v>0</v>
      </c>
      <c r="CP225" s="317"/>
      <c r="CQ225" s="10"/>
      <c r="CR225" s="10"/>
      <c r="CS225" s="10">
        <v>0</v>
      </c>
      <c r="CT225" s="10">
        <v>4</v>
      </c>
      <c r="CU225" s="10">
        <v>0</v>
      </c>
      <c r="CV225" s="10">
        <v>0</v>
      </c>
      <c r="CW225" s="10"/>
      <c r="CX225" s="10"/>
      <c r="CY225" s="59">
        <v>0</v>
      </c>
      <c r="CZ225" s="59"/>
      <c r="DA225" s="59"/>
      <c r="DB225" s="10">
        <v>0</v>
      </c>
      <c r="DC225" s="10"/>
      <c r="DD225" s="10"/>
      <c r="DE225" s="10"/>
      <c r="DF225" s="10"/>
      <c r="DG225" s="10">
        <v>0</v>
      </c>
      <c r="DH225" s="10">
        <v>0</v>
      </c>
      <c r="DI225" s="10">
        <v>0</v>
      </c>
      <c r="DJ225" s="59">
        <v>0</v>
      </c>
      <c r="DK225" s="59"/>
      <c r="DL225" s="59"/>
      <c r="DM225" s="10">
        <v>3</v>
      </c>
      <c r="DN225" s="10"/>
      <c r="DO225" s="10">
        <v>2</v>
      </c>
      <c r="DP225" s="10"/>
      <c r="DQ225" s="10"/>
      <c r="DR225" s="10"/>
      <c r="DS225" s="59">
        <v>0</v>
      </c>
      <c r="DT225" s="10">
        <v>2</v>
      </c>
      <c r="DU225" s="10">
        <v>0</v>
      </c>
      <c r="DV225" s="38">
        <f t="shared" si="100"/>
        <v>16</v>
      </c>
      <c r="DW225" s="14" t="str">
        <f t="shared" si="101"/>
        <v/>
      </c>
    </row>
    <row r="226" spans="1:127" customFormat="1">
      <c r="A226" s="210">
        <v>34804</v>
      </c>
      <c r="B226" s="211"/>
      <c r="C226" s="8">
        <v>3</v>
      </c>
      <c r="D226" s="10">
        <v>6</v>
      </c>
      <c r="E226" s="10">
        <v>3</v>
      </c>
      <c r="F226" s="10">
        <v>0</v>
      </c>
      <c r="G226" s="10">
        <v>2</v>
      </c>
      <c r="H226" s="10">
        <v>0</v>
      </c>
      <c r="I226" s="10">
        <v>0</v>
      </c>
      <c r="J226" s="10">
        <v>2</v>
      </c>
      <c r="K226" s="59">
        <v>0</v>
      </c>
      <c r="L226" s="59">
        <v>0</v>
      </c>
      <c r="M226" s="59"/>
      <c r="N226" s="59"/>
      <c r="O226" s="10">
        <v>2</v>
      </c>
      <c r="P226" s="10">
        <v>0</v>
      </c>
      <c r="Q226" s="10">
        <v>0</v>
      </c>
      <c r="R226" s="10">
        <v>1</v>
      </c>
      <c r="S226" s="35">
        <f t="shared" si="102"/>
        <v>19</v>
      </c>
      <c r="T226" s="10">
        <v>0</v>
      </c>
      <c r="U226" s="10"/>
      <c r="V226" s="10"/>
      <c r="W226" s="10">
        <v>0</v>
      </c>
      <c r="X226" s="5">
        <v>1</v>
      </c>
      <c r="Y226" s="10"/>
      <c r="Z226" s="8">
        <v>749877</v>
      </c>
      <c r="AA226" s="10">
        <v>304613</v>
      </c>
      <c r="AB226" s="10"/>
      <c r="AC226" s="8"/>
      <c r="AD226" s="10"/>
      <c r="AE226" s="35"/>
      <c r="AF226" s="10"/>
      <c r="AG226" s="8">
        <v>35</v>
      </c>
      <c r="AH226" s="10">
        <v>30</v>
      </c>
      <c r="AI226" s="10">
        <v>98</v>
      </c>
      <c r="AJ226" s="5">
        <v>24</v>
      </c>
      <c r="AK226" s="10"/>
      <c r="AL226" s="8"/>
      <c r="AM226" s="10"/>
      <c r="AN226" s="35"/>
      <c r="AO226" s="10"/>
      <c r="AP226" s="10"/>
      <c r="AQ226" s="35"/>
      <c r="AR226" s="59"/>
      <c r="AS226" s="59"/>
      <c r="AT226" s="59"/>
      <c r="AU226" s="59"/>
      <c r="AV226" s="62"/>
      <c r="AW226" s="10"/>
      <c r="AX226" s="326"/>
      <c r="AY226" s="5"/>
      <c r="AZ226" s="10"/>
      <c r="BA226" s="8"/>
      <c r="BB226" s="10"/>
      <c r="BC226" s="10"/>
      <c r="BD226" s="10"/>
      <c r="BE226" s="10"/>
      <c r="BF226" s="10"/>
      <c r="BG226" s="10"/>
      <c r="BH226" s="30"/>
      <c r="BI226" s="10"/>
      <c r="BJ226" s="338"/>
      <c r="BK226" s="338"/>
      <c r="BL226" s="303"/>
      <c r="BM226" s="5"/>
      <c r="BN226" s="10"/>
      <c r="BO226" s="8"/>
      <c r="BP226" s="5"/>
      <c r="BQ226" s="10"/>
      <c r="BR226" s="29">
        <v>1995</v>
      </c>
      <c r="BS226" s="64">
        <v>1995</v>
      </c>
      <c r="BT226" s="14">
        <v>8</v>
      </c>
      <c r="BU226" s="10"/>
      <c r="BV226" s="8">
        <v>1</v>
      </c>
      <c r="BW226" s="10">
        <v>0</v>
      </c>
      <c r="BX226" s="10"/>
      <c r="BY226" s="10"/>
      <c r="BZ226" s="10"/>
      <c r="CA226" s="10"/>
      <c r="CB226" s="10"/>
      <c r="CC226" s="221"/>
      <c r="CD226" s="10">
        <v>2</v>
      </c>
      <c r="CE226" s="317"/>
      <c r="CF226" s="10">
        <v>0</v>
      </c>
      <c r="CG226" s="10">
        <v>0</v>
      </c>
      <c r="CH226" s="10"/>
      <c r="CI226" s="10">
        <v>0</v>
      </c>
      <c r="CJ226" s="10">
        <v>1</v>
      </c>
      <c r="CK226" s="10"/>
      <c r="CL226" s="10"/>
      <c r="CM226" s="10">
        <v>0</v>
      </c>
      <c r="CN226" s="10"/>
      <c r="CO226" s="10">
        <v>1</v>
      </c>
      <c r="CP226" s="317"/>
      <c r="CQ226" s="10"/>
      <c r="CR226" s="10"/>
      <c r="CS226" s="10">
        <v>0</v>
      </c>
      <c r="CT226" s="10">
        <v>3</v>
      </c>
      <c r="CU226" s="10">
        <v>0</v>
      </c>
      <c r="CV226" s="10">
        <v>7</v>
      </c>
      <c r="CW226" s="10"/>
      <c r="CX226" s="10"/>
      <c r="CY226" s="59">
        <v>0</v>
      </c>
      <c r="CZ226" s="59"/>
      <c r="DA226" s="59"/>
      <c r="DB226" s="10">
        <v>1</v>
      </c>
      <c r="DC226" s="10"/>
      <c r="DD226" s="10"/>
      <c r="DE226" s="10"/>
      <c r="DF226" s="10"/>
      <c r="DG226" s="10">
        <v>0</v>
      </c>
      <c r="DH226" s="10">
        <v>0</v>
      </c>
      <c r="DI226" s="10">
        <v>0</v>
      </c>
      <c r="DJ226" s="59">
        <v>0</v>
      </c>
      <c r="DK226" s="59"/>
      <c r="DL226" s="59"/>
      <c r="DM226" s="10">
        <v>0</v>
      </c>
      <c r="DN226" s="10"/>
      <c r="DO226" s="10">
        <v>0</v>
      </c>
      <c r="DP226" s="10"/>
      <c r="DQ226" s="10"/>
      <c r="DR226" s="10"/>
      <c r="DS226" s="59">
        <v>0</v>
      </c>
      <c r="DT226" s="10">
        <v>2</v>
      </c>
      <c r="DU226" s="10">
        <v>1</v>
      </c>
      <c r="DV226" s="38">
        <f t="shared" si="100"/>
        <v>19</v>
      </c>
      <c r="DW226" s="14" t="str">
        <f t="shared" si="101"/>
        <v/>
      </c>
    </row>
    <row r="227" spans="1:127" customFormat="1">
      <c r="A227" s="210">
        <v>34820</v>
      </c>
      <c r="B227" s="211"/>
      <c r="C227" s="8">
        <v>2</v>
      </c>
      <c r="D227" s="10">
        <v>19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1</v>
      </c>
      <c r="K227" s="59">
        <v>0</v>
      </c>
      <c r="L227" s="59">
        <v>0</v>
      </c>
      <c r="M227" s="59"/>
      <c r="N227" s="59"/>
      <c r="O227" s="10">
        <v>2</v>
      </c>
      <c r="P227" s="10">
        <v>0</v>
      </c>
      <c r="Q227" s="10">
        <v>0</v>
      </c>
      <c r="R227" s="10">
        <v>0</v>
      </c>
      <c r="S227" s="35">
        <f t="shared" si="102"/>
        <v>24</v>
      </c>
      <c r="T227" s="10">
        <v>0</v>
      </c>
      <c r="U227" s="10"/>
      <c r="V227" s="10"/>
      <c r="W227" s="10">
        <v>0</v>
      </c>
      <c r="X227" s="5">
        <v>0</v>
      </c>
      <c r="Y227" s="10"/>
      <c r="Z227" s="8">
        <v>810926</v>
      </c>
      <c r="AA227" s="10">
        <v>601037</v>
      </c>
      <c r="AB227" s="10"/>
      <c r="AC227" s="8"/>
      <c r="AD227" s="10"/>
      <c r="AE227" s="35"/>
      <c r="AF227" s="10"/>
      <c r="AG227" s="8">
        <v>48</v>
      </c>
      <c r="AH227" s="10">
        <v>23</v>
      </c>
      <c r="AI227" s="10">
        <v>88</v>
      </c>
      <c r="AJ227" s="5">
        <v>24</v>
      </c>
      <c r="AK227" s="10"/>
      <c r="AL227" s="8"/>
      <c r="AM227" s="10"/>
      <c r="AN227" s="35"/>
      <c r="AO227" s="10"/>
      <c r="AP227" s="10"/>
      <c r="AQ227" s="35"/>
      <c r="AR227" s="59"/>
      <c r="AS227" s="59"/>
      <c r="AT227" s="59"/>
      <c r="AU227" s="59"/>
      <c r="AV227" s="62"/>
      <c r="AW227" s="10"/>
      <c r="AX227" s="326"/>
      <c r="AY227" s="5"/>
      <c r="AZ227" s="10"/>
      <c r="BA227" s="8">
        <v>1595</v>
      </c>
      <c r="BB227" s="10"/>
      <c r="BC227" s="10"/>
      <c r="BD227" s="10"/>
      <c r="BE227" s="10">
        <v>26</v>
      </c>
      <c r="BF227" s="10">
        <v>2</v>
      </c>
      <c r="BG227" s="10">
        <v>6</v>
      </c>
      <c r="BH227" s="30"/>
      <c r="BI227" s="10"/>
      <c r="BJ227" s="338"/>
      <c r="BK227" s="338"/>
      <c r="BL227" s="303"/>
      <c r="BM227" s="5"/>
      <c r="BN227" s="10"/>
      <c r="BO227" s="8"/>
      <c r="BP227" s="5"/>
      <c r="BQ227" s="10"/>
      <c r="BR227" s="29">
        <v>1995</v>
      </c>
      <c r="BS227" s="64">
        <v>1995</v>
      </c>
      <c r="BT227" s="14">
        <v>9</v>
      </c>
      <c r="BU227" s="10"/>
      <c r="BV227" s="8">
        <v>1</v>
      </c>
      <c r="BW227" s="10">
        <v>0</v>
      </c>
      <c r="BX227" s="10"/>
      <c r="BY227" s="10"/>
      <c r="BZ227" s="10"/>
      <c r="CA227" s="10"/>
      <c r="CB227" s="10"/>
      <c r="CC227" s="221"/>
      <c r="CD227" s="10">
        <v>5</v>
      </c>
      <c r="CE227" s="317"/>
      <c r="CF227" s="10">
        <v>0</v>
      </c>
      <c r="CG227" s="10">
        <v>0</v>
      </c>
      <c r="CH227" s="10"/>
      <c r="CI227" s="10">
        <v>0</v>
      </c>
      <c r="CJ227" s="10">
        <v>3</v>
      </c>
      <c r="CK227" s="10"/>
      <c r="CL227" s="10"/>
      <c r="CM227" s="10">
        <v>0</v>
      </c>
      <c r="CN227" s="10"/>
      <c r="CO227" s="10">
        <v>1</v>
      </c>
      <c r="CP227" s="317"/>
      <c r="CQ227" s="10"/>
      <c r="CR227" s="10"/>
      <c r="CS227" s="10">
        <v>0</v>
      </c>
      <c r="CT227" s="10">
        <v>10</v>
      </c>
      <c r="CU227" s="10">
        <v>0</v>
      </c>
      <c r="CV227" s="10">
        <v>0</v>
      </c>
      <c r="CW227" s="10"/>
      <c r="CX227" s="10"/>
      <c r="CY227" s="59">
        <v>0</v>
      </c>
      <c r="CZ227" s="59"/>
      <c r="DA227" s="59"/>
      <c r="DB227" s="10">
        <v>0</v>
      </c>
      <c r="DC227" s="10"/>
      <c r="DD227" s="10"/>
      <c r="DE227" s="10"/>
      <c r="DF227" s="10"/>
      <c r="DG227" s="10">
        <v>0</v>
      </c>
      <c r="DH227" s="10">
        <v>0</v>
      </c>
      <c r="DI227" s="10">
        <v>0</v>
      </c>
      <c r="DJ227" s="59">
        <v>0</v>
      </c>
      <c r="DK227" s="59"/>
      <c r="DL227" s="59"/>
      <c r="DM227" s="10">
        <v>3</v>
      </c>
      <c r="DN227" s="10"/>
      <c r="DO227" s="10">
        <v>1</v>
      </c>
      <c r="DP227" s="10"/>
      <c r="DQ227" s="10"/>
      <c r="DR227" s="10"/>
      <c r="DS227" s="59">
        <v>0</v>
      </c>
      <c r="DT227" s="10">
        <v>0</v>
      </c>
      <c r="DU227" s="10">
        <v>0</v>
      </c>
      <c r="DV227" s="38">
        <f t="shared" si="100"/>
        <v>24</v>
      </c>
      <c r="DW227" s="14" t="str">
        <f t="shared" si="101"/>
        <v/>
      </c>
    </row>
    <row r="228" spans="1:127" customFormat="1">
      <c r="A228" s="210">
        <v>34834</v>
      </c>
      <c r="B228" s="211"/>
      <c r="C228" s="8">
        <v>3</v>
      </c>
      <c r="D228" s="10">
        <v>33</v>
      </c>
      <c r="E228" s="10">
        <v>3</v>
      </c>
      <c r="F228" s="10">
        <v>0</v>
      </c>
      <c r="G228" s="10">
        <v>3</v>
      </c>
      <c r="H228" s="10">
        <v>1</v>
      </c>
      <c r="I228" s="10">
        <v>0</v>
      </c>
      <c r="J228" s="10">
        <v>4</v>
      </c>
      <c r="K228" s="59">
        <v>0</v>
      </c>
      <c r="L228" s="59">
        <v>0</v>
      </c>
      <c r="M228" s="59"/>
      <c r="N228" s="59"/>
      <c r="O228" s="10">
        <v>5</v>
      </c>
      <c r="P228" s="10">
        <v>6</v>
      </c>
      <c r="Q228" s="10">
        <v>0</v>
      </c>
      <c r="R228" s="10">
        <v>0</v>
      </c>
      <c r="S228" s="35">
        <f t="shared" si="102"/>
        <v>58</v>
      </c>
      <c r="T228" s="10">
        <v>0</v>
      </c>
      <c r="U228" s="10"/>
      <c r="V228" s="10"/>
      <c r="W228" s="10">
        <v>3</v>
      </c>
      <c r="X228" s="5">
        <v>0</v>
      </c>
      <c r="Y228" s="10"/>
      <c r="Z228" s="8">
        <v>1258421</v>
      </c>
      <c r="AA228" s="10">
        <v>871543</v>
      </c>
      <c r="AB228" s="10"/>
      <c r="AC228" s="8"/>
      <c r="AD228" s="10"/>
      <c r="AE228" s="35"/>
      <c r="AF228" s="10"/>
      <c r="AG228" s="8">
        <v>108</v>
      </c>
      <c r="AH228" s="10">
        <v>33</v>
      </c>
      <c r="AI228" s="10">
        <v>152</v>
      </c>
      <c r="AJ228" s="5">
        <v>40</v>
      </c>
      <c r="AK228" s="10"/>
      <c r="AL228" s="8"/>
      <c r="AM228" s="10"/>
      <c r="AN228" s="35"/>
      <c r="AO228" s="10"/>
      <c r="AP228" s="10"/>
      <c r="AQ228" s="35"/>
      <c r="AR228" s="59"/>
      <c r="AS228" s="59"/>
      <c r="AT228" s="59"/>
      <c r="AU228" s="59"/>
      <c r="AV228" s="62"/>
      <c r="AW228" s="10"/>
      <c r="AX228" s="326"/>
      <c r="AY228" s="5"/>
      <c r="AZ228" s="10"/>
      <c r="BA228" s="8"/>
      <c r="BB228" s="10"/>
      <c r="BC228" s="10"/>
      <c r="BD228" s="10"/>
      <c r="BE228" s="10"/>
      <c r="BF228" s="10"/>
      <c r="BG228" s="10"/>
      <c r="BH228" s="30"/>
      <c r="BI228" s="10"/>
      <c r="BJ228" s="338"/>
      <c r="BK228" s="338"/>
      <c r="BL228" s="303"/>
      <c r="BM228" s="5"/>
      <c r="BN228" s="10"/>
      <c r="BO228" s="8"/>
      <c r="BP228" s="5"/>
      <c r="BQ228" s="10"/>
      <c r="BR228" s="29">
        <v>1995</v>
      </c>
      <c r="BS228" s="64">
        <v>1995</v>
      </c>
      <c r="BT228" s="14">
        <v>10</v>
      </c>
      <c r="BU228" s="10"/>
      <c r="BV228" s="8">
        <v>0</v>
      </c>
      <c r="BW228" s="10">
        <v>0</v>
      </c>
      <c r="BX228" s="10"/>
      <c r="BY228" s="10"/>
      <c r="BZ228" s="10"/>
      <c r="CA228" s="10"/>
      <c r="CB228" s="10"/>
      <c r="CC228" s="221"/>
      <c r="CD228" s="10">
        <v>2</v>
      </c>
      <c r="CE228" s="317"/>
      <c r="CF228" s="10">
        <v>0</v>
      </c>
      <c r="CG228" s="10">
        <v>0</v>
      </c>
      <c r="CH228" s="10"/>
      <c r="CI228" s="10">
        <v>4</v>
      </c>
      <c r="CJ228" s="10">
        <v>17</v>
      </c>
      <c r="CK228" s="10"/>
      <c r="CL228" s="10"/>
      <c r="CM228" s="10">
        <v>0</v>
      </c>
      <c r="CN228" s="10"/>
      <c r="CO228" s="10">
        <v>0</v>
      </c>
      <c r="CP228" s="317"/>
      <c r="CQ228" s="10"/>
      <c r="CR228" s="10"/>
      <c r="CS228" s="10">
        <v>0</v>
      </c>
      <c r="CT228" s="10">
        <v>11</v>
      </c>
      <c r="CU228" s="10">
        <v>4</v>
      </c>
      <c r="CV228" s="10">
        <v>2</v>
      </c>
      <c r="CW228" s="10"/>
      <c r="CX228" s="10"/>
      <c r="CY228" s="59">
        <v>0</v>
      </c>
      <c r="CZ228" s="59"/>
      <c r="DA228" s="59"/>
      <c r="DB228" s="10">
        <v>10</v>
      </c>
      <c r="DC228" s="10"/>
      <c r="DD228" s="10"/>
      <c r="DE228" s="10"/>
      <c r="DF228" s="10"/>
      <c r="DG228" s="10">
        <v>0</v>
      </c>
      <c r="DH228" s="10">
        <v>0</v>
      </c>
      <c r="DI228" s="10">
        <v>0</v>
      </c>
      <c r="DJ228" s="59">
        <v>0</v>
      </c>
      <c r="DK228" s="59"/>
      <c r="DL228" s="59"/>
      <c r="DM228" s="10">
        <v>7</v>
      </c>
      <c r="DN228" s="10"/>
      <c r="DO228" s="10">
        <v>0</v>
      </c>
      <c r="DP228" s="10"/>
      <c r="DQ228" s="10"/>
      <c r="DR228" s="10"/>
      <c r="DS228" s="59">
        <v>0</v>
      </c>
      <c r="DT228" s="10">
        <v>1</v>
      </c>
      <c r="DU228" s="10">
        <v>0</v>
      </c>
      <c r="DV228" s="38">
        <f t="shared" si="100"/>
        <v>58</v>
      </c>
      <c r="DW228" s="14" t="str">
        <f t="shared" si="101"/>
        <v/>
      </c>
    </row>
    <row r="229" spans="1:127" customFormat="1">
      <c r="A229" s="210">
        <v>34851</v>
      </c>
      <c r="B229" s="211"/>
      <c r="C229" s="8">
        <v>2</v>
      </c>
      <c r="D229" s="10">
        <v>49</v>
      </c>
      <c r="E229" s="10">
        <v>3</v>
      </c>
      <c r="F229" s="10">
        <v>0</v>
      </c>
      <c r="G229" s="10">
        <v>0</v>
      </c>
      <c r="H229" s="10">
        <v>0</v>
      </c>
      <c r="I229" s="10">
        <v>0</v>
      </c>
      <c r="J229" s="10">
        <v>3</v>
      </c>
      <c r="K229" s="59">
        <v>0</v>
      </c>
      <c r="L229" s="59">
        <v>0</v>
      </c>
      <c r="M229" s="59"/>
      <c r="N229" s="59"/>
      <c r="O229" s="10">
        <v>6</v>
      </c>
      <c r="P229" s="10">
        <v>0</v>
      </c>
      <c r="Q229" s="10">
        <v>0</v>
      </c>
      <c r="R229" s="10">
        <v>0</v>
      </c>
      <c r="S229" s="35">
        <f t="shared" si="102"/>
        <v>63</v>
      </c>
      <c r="T229" s="10">
        <v>2</v>
      </c>
      <c r="U229" s="10"/>
      <c r="V229" s="10"/>
      <c r="W229" s="10">
        <v>3</v>
      </c>
      <c r="X229" s="5">
        <v>1</v>
      </c>
      <c r="Y229" s="10"/>
      <c r="Z229" s="8">
        <v>1188675</v>
      </c>
      <c r="AA229" s="10">
        <v>1107908</v>
      </c>
      <c r="AB229" s="10"/>
      <c r="AC229" s="8"/>
      <c r="AD229" s="10"/>
      <c r="AE229" s="35"/>
      <c r="AF229" s="10"/>
      <c r="AG229" s="8">
        <v>134</v>
      </c>
      <c r="AH229" s="10">
        <v>12</v>
      </c>
      <c r="AI229" s="10">
        <v>170</v>
      </c>
      <c r="AJ229" s="5">
        <v>44</v>
      </c>
      <c r="AK229" s="10"/>
      <c r="AL229" s="8"/>
      <c r="AM229" s="10"/>
      <c r="AN229" s="35"/>
      <c r="AO229" s="10"/>
      <c r="AP229" s="10"/>
      <c r="AQ229" s="35"/>
      <c r="AR229" s="59"/>
      <c r="AS229" s="59"/>
      <c r="AT229" s="59"/>
      <c r="AU229" s="59"/>
      <c r="AV229" s="62"/>
      <c r="AW229" s="10"/>
      <c r="AX229" s="326"/>
      <c r="AY229" s="5"/>
      <c r="AZ229" s="10"/>
      <c r="BA229" s="8">
        <v>1597</v>
      </c>
      <c r="BB229" s="10"/>
      <c r="BC229" s="10">
        <v>18622464</v>
      </c>
      <c r="BD229" s="10"/>
      <c r="BE229" s="10">
        <v>43</v>
      </c>
      <c r="BF229" s="10">
        <v>4</v>
      </c>
      <c r="BG229" s="10">
        <v>2</v>
      </c>
      <c r="BH229" s="30"/>
      <c r="BI229" s="10"/>
      <c r="BJ229" s="338"/>
      <c r="BK229" s="338"/>
      <c r="BL229" s="303"/>
      <c r="BM229" s="5"/>
      <c r="BN229" s="10"/>
      <c r="BO229" s="8"/>
      <c r="BP229" s="5"/>
      <c r="BQ229" s="10"/>
      <c r="BR229" s="29">
        <v>1995</v>
      </c>
      <c r="BS229" s="64">
        <v>1995</v>
      </c>
      <c r="BT229" s="14">
        <v>11</v>
      </c>
      <c r="BU229" s="10"/>
      <c r="BV229" s="8">
        <v>2</v>
      </c>
      <c r="BW229" s="10">
        <v>0</v>
      </c>
      <c r="BX229" s="10"/>
      <c r="BY229" s="10"/>
      <c r="BZ229" s="10"/>
      <c r="CA229" s="10"/>
      <c r="CB229" s="10"/>
      <c r="CC229" s="221"/>
      <c r="CD229" s="10">
        <v>12</v>
      </c>
      <c r="CE229" s="317"/>
      <c r="CF229" s="10">
        <v>0</v>
      </c>
      <c r="CG229" s="10">
        <v>0</v>
      </c>
      <c r="CH229" s="10"/>
      <c r="CI229" s="10">
        <v>0</v>
      </c>
      <c r="CJ229" s="10">
        <v>0</v>
      </c>
      <c r="CK229" s="10"/>
      <c r="CL229" s="10"/>
      <c r="CM229" s="10">
        <v>0</v>
      </c>
      <c r="CN229" s="10"/>
      <c r="CO229" s="10">
        <v>1</v>
      </c>
      <c r="CP229" s="317"/>
      <c r="CQ229" s="10"/>
      <c r="CR229" s="10"/>
      <c r="CS229" s="10">
        <v>16</v>
      </c>
      <c r="CT229" s="10">
        <v>0</v>
      </c>
      <c r="CU229" s="10">
        <v>1</v>
      </c>
      <c r="CV229" s="10">
        <v>4</v>
      </c>
      <c r="CW229" s="10"/>
      <c r="CX229" s="10"/>
      <c r="CY229" s="59">
        <v>0</v>
      </c>
      <c r="CZ229" s="59"/>
      <c r="DA229" s="59"/>
      <c r="DB229" s="10">
        <v>4</v>
      </c>
      <c r="DC229" s="10"/>
      <c r="DD229" s="10"/>
      <c r="DE229" s="10"/>
      <c r="DF229" s="10"/>
      <c r="DG229" s="10">
        <v>1</v>
      </c>
      <c r="DH229" s="10">
        <v>2</v>
      </c>
      <c r="DI229" s="10">
        <v>12</v>
      </c>
      <c r="DJ229" s="59">
        <v>0</v>
      </c>
      <c r="DK229" s="59"/>
      <c r="DL229" s="59"/>
      <c r="DM229" s="10">
        <v>5</v>
      </c>
      <c r="DN229" s="10"/>
      <c r="DO229" s="10">
        <v>0</v>
      </c>
      <c r="DP229" s="10"/>
      <c r="DQ229" s="10"/>
      <c r="DR229" s="10"/>
      <c r="DS229" s="59">
        <v>0</v>
      </c>
      <c r="DT229" s="10">
        <v>3</v>
      </c>
      <c r="DU229" s="10">
        <v>0</v>
      </c>
      <c r="DV229" s="38">
        <f t="shared" si="100"/>
        <v>63</v>
      </c>
      <c r="DW229" s="14" t="str">
        <f t="shared" si="101"/>
        <v/>
      </c>
    </row>
    <row r="230" spans="1:127" customFormat="1">
      <c r="A230" s="210">
        <v>34865</v>
      </c>
      <c r="B230" s="211"/>
      <c r="C230" s="8">
        <v>12</v>
      </c>
      <c r="D230" s="10">
        <v>18</v>
      </c>
      <c r="E230" s="10">
        <v>1</v>
      </c>
      <c r="F230" s="10">
        <v>0</v>
      </c>
      <c r="G230" s="10">
        <v>0</v>
      </c>
      <c r="H230" s="10">
        <v>1</v>
      </c>
      <c r="I230" s="10">
        <v>0</v>
      </c>
      <c r="J230" s="10">
        <v>4</v>
      </c>
      <c r="K230" s="59">
        <v>0</v>
      </c>
      <c r="L230" s="59">
        <v>0</v>
      </c>
      <c r="M230" s="59"/>
      <c r="N230" s="59"/>
      <c r="O230" s="10">
        <v>3</v>
      </c>
      <c r="P230" s="10">
        <v>0</v>
      </c>
      <c r="Q230" s="10">
        <v>0</v>
      </c>
      <c r="R230" s="10">
        <v>0</v>
      </c>
      <c r="S230" s="35">
        <f t="shared" si="102"/>
        <v>39</v>
      </c>
      <c r="T230" s="10">
        <v>2</v>
      </c>
      <c r="U230" s="10"/>
      <c r="V230" s="10"/>
      <c r="W230" s="10">
        <v>1</v>
      </c>
      <c r="X230" s="5">
        <v>0</v>
      </c>
      <c r="Y230" s="10"/>
      <c r="Z230" s="8">
        <v>1279001</v>
      </c>
      <c r="AA230" s="10">
        <v>1412243</v>
      </c>
      <c r="AB230" s="10"/>
      <c r="AC230" s="8"/>
      <c r="AD230" s="10"/>
      <c r="AE230" s="35"/>
      <c r="AF230" s="10"/>
      <c r="AG230" s="8">
        <v>155</v>
      </c>
      <c r="AH230" s="10">
        <v>1</v>
      </c>
      <c r="AI230" s="10">
        <v>168</v>
      </c>
      <c r="AJ230" s="5">
        <v>36</v>
      </c>
      <c r="AK230" s="10"/>
      <c r="AL230" s="8"/>
      <c r="AM230" s="10"/>
      <c r="AN230" s="35"/>
      <c r="AO230" s="10"/>
      <c r="AP230" s="10"/>
      <c r="AQ230" s="35"/>
      <c r="AR230" s="59"/>
      <c r="AS230" s="59"/>
      <c r="AT230" s="59"/>
      <c r="AU230" s="59"/>
      <c r="AV230" s="62"/>
      <c r="AW230" s="10"/>
      <c r="AX230" s="326"/>
      <c r="AY230" s="5"/>
      <c r="AZ230" s="10"/>
      <c r="BA230" s="8"/>
      <c r="BB230" s="10"/>
      <c r="BC230" s="10"/>
      <c r="BD230" s="10"/>
      <c r="BE230" s="10"/>
      <c r="BF230" s="10"/>
      <c r="BG230" s="10"/>
      <c r="BH230" s="30"/>
      <c r="BI230" s="10"/>
      <c r="BJ230" s="338"/>
      <c r="BK230" s="338"/>
      <c r="BL230" s="303"/>
      <c r="BM230" s="5"/>
      <c r="BN230" s="10"/>
      <c r="BO230" s="8"/>
      <c r="BP230" s="5"/>
      <c r="BQ230" s="10"/>
      <c r="BR230" s="29">
        <v>1995</v>
      </c>
      <c r="BS230" s="64">
        <v>1995</v>
      </c>
      <c r="BT230" s="14">
        <v>12</v>
      </c>
      <c r="BU230" s="10"/>
      <c r="BV230" s="8">
        <v>0</v>
      </c>
      <c r="BW230" s="10">
        <v>0</v>
      </c>
      <c r="BX230" s="10"/>
      <c r="BY230" s="10"/>
      <c r="BZ230" s="10"/>
      <c r="CA230" s="10"/>
      <c r="CB230" s="10"/>
      <c r="CC230" s="221"/>
      <c r="CD230" s="10">
        <v>0</v>
      </c>
      <c r="CE230" s="317"/>
      <c r="CF230" s="10">
        <v>0</v>
      </c>
      <c r="CG230" s="10">
        <v>0</v>
      </c>
      <c r="CH230" s="10"/>
      <c r="CI230" s="10">
        <v>6</v>
      </c>
      <c r="CJ230" s="10">
        <v>11</v>
      </c>
      <c r="CK230" s="10"/>
      <c r="CL230" s="10"/>
      <c r="CM230" s="10">
        <v>0</v>
      </c>
      <c r="CN230" s="10"/>
      <c r="CO230" s="10">
        <v>5</v>
      </c>
      <c r="CP230" s="317"/>
      <c r="CQ230" s="10"/>
      <c r="CR230" s="10"/>
      <c r="CS230" s="10">
        <v>1</v>
      </c>
      <c r="CT230" s="10">
        <v>4</v>
      </c>
      <c r="CU230" s="10">
        <v>0</v>
      </c>
      <c r="CV230" s="10">
        <v>1</v>
      </c>
      <c r="CW230" s="10"/>
      <c r="CX230" s="10"/>
      <c r="CY230" s="59">
        <v>0</v>
      </c>
      <c r="CZ230" s="59"/>
      <c r="DA230" s="59"/>
      <c r="DB230" s="10">
        <v>2</v>
      </c>
      <c r="DC230" s="10"/>
      <c r="DD230" s="10"/>
      <c r="DE230" s="10"/>
      <c r="DF230" s="10"/>
      <c r="DG230" s="10">
        <v>2</v>
      </c>
      <c r="DH230" s="10">
        <v>0</v>
      </c>
      <c r="DI230" s="10">
        <v>0</v>
      </c>
      <c r="DJ230" s="59">
        <v>0</v>
      </c>
      <c r="DK230" s="59"/>
      <c r="DL230" s="59"/>
      <c r="DM230" s="10">
        <v>6</v>
      </c>
      <c r="DN230" s="10"/>
      <c r="DO230" s="10">
        <v>1</v>
      </c>
      <c r="DP230" s="10"/>
      <c r="DQ230" s="10"/>
      <c r="DR230" s="10"/>
      <c r="DS230" s="59">
        <v>0</v>
      </c>
      <c r="DT230" s="10">
        <v>0</v>
      </c>
      <c r="DU230" s="10">
        <v>0</v>
      </c>
      <c r="DV230" s="38">
        <f t="shared" si="100"/>
        <v>39</v>
      </c>
      <c r="DW230" s="14" t="str">
        <f t="shared" si="101"/>
        <v/>
      </c>
    </row>
    <row r="231" spans="1:127" s="6" customFormat="1" ht="12" thickBot="1">
      <c r="A231" s="212" t="s">
        <v>93</v>
      </c>
      <c r="B231" s="83"/>
      <c r="C231" s="52">
        <f t="shared" ref="C231:X231" si="103">SUM(C207:C230)</f>
        <v>76</v>
      </c>
      <c r="D231" s="53">
        <f t="shared" si="103"/>
        <v>453</v>
      </c>
      <c r="E231" s="53">
        <f t="shared" si="103"/>
        <v>52</v>
      </c>
      <c r="F231" s="53">
        <f t="shared" si="103"/>
        <v>18</v>
      </c>
      <c r="G231" s="53">
        <f t="shared" si="103"/>
        <v>45</v>
      </c>
      <c r="H231" s="53">
        <f t="shared" si="103"/>
        <v>18</v>
      </c>
      <c r="I231" s="53">
        <f>SUM(I207:I230)</f>
        <v>1</v>
      </c>
      <c r="J231" s="53">
        <f t="shared" si="103"/>
        <v>104</v>
      </c>
      <c r="K231" s="53">
        <f t="shared" si="103"/>
        <v>0</v>
      </c>
      <c r="L231" s="53">
        <f t="shared" si="103"/>
        <v>0</v>
      </c>
      <c r="M231" s="53"/>
      <c r="N231" s="53"/>
      <c r="O231" s="53">
        <f>SUM(O207:O230)</f>
        <v>320</v>
      </c>
      <c r="P231" s="53">
        <f t="shared" si="103"/>
        <v>33</v>
      </c>
      <c r="Q231" s="53">
        <f t="shared" si="103"/>
        <v>0</v>
      </c>
      <c r="R231" s="53">
        <f t="shared" si="103"/>
        <v>5</v>
      </c>
      <c r="S231" s="55">
        <f t="shared" si="103"/>
        <v>1125</v>
      </c>
      <c r="T231" s="53">
        <f t="shared" si="103"/>
        <v>158</v>
      </c>
      <c r="U231" s="53">
        <f t="shared" si="103"/>
        <v>0</v>
      </c>
      <c r="V231" s="53">
        <f t="shared" ref="V231" si="104">SUM(V207:V230)</f>
        <v>0</v>
      </c>
      <c r="W231" s="53">
        <f t="shared" si="103"/>
        <v>56</v>
      </c>
      <c r="X231" s="54">
        <f t="shared" si="103"/>
        <v>14</v>
      </c>
      <c r="Z231" s="52">
        <f>SUM(Z207:Z230)</f>
        <v>11041828</v>
      </c>
      <c r="AA231" s="53">
        <f>SUM(AA207:AA230)</f>
        <v>24861371</v>
      </c>
      <c r="AB231" s="53"/>
      <c r="AC231" s="52">
        <f>SUM(AC207:AC230)</f>
        <v>0</v>
      </c>
      <c r="AD231" s="53">
        <f>SUM(AD207:AD230)</f>
        <v>0</v>
      </c>
      <c r="AE231" s="55">
        <f>SUM(AE207:AE230)</f>
        <v>0</v>
      </c>
      <c r="AG231" s="52">
        <f>SUM(AG207:AG230)</f>
        <v>2161</v>
      </c>
      <c r="AH231" s="53">
        <f>SUM(AH207:AH230)</f>
        <v>764</v>
      </c>
      <c r="AI231" s="53">
        <f>SUM(AI207:AI230)</f>
        <v>3365</v>
      </c>
      <c r="AJ231" s="54">
        <f>SUM(AJ207:AJ230)</f>
        <v>656</v>
      </c>
      <c r="AL231" s="52">
        <f t="shared" ref="AL231:AV231" si="105">SUM(AL207:AL230)</f>
        <v>66</v>
      </c>
      <c r="AM231" s="53">
        <f t="shared" si="105"/>
        <v>287</v>
      </c>
      <c r="AN231" s="55">
        <f t="shared" si="105"/>
        <v>353</v>
      </c>
      <c r="AO231" s="53">
        <f t="shared" si="105"/>
        <v>341</v>
      </c>
      <c r="AP231" s="53">
        <f t="shared" si="105"/>
        <v>46</v>
      </c>
      <c r="AQ231" s="55">
        <f t="shared" si="105"/>
        <v>387</v>
      </c>
      <c r="AR231" s="53">
        <f t="shared" si="105"/>
        <v>0</v>
      </c>
      <c r="AS231" s="53">
        <f t="shared" si="105"/>
        <v>0</v>
      </c>
      <c r="AT231" s="53">
        <f t="shared" si="105"/>
        <v>0</v>
      </c>
      <c r="AU231" s="53">
        <f t="shared" si="105"/>
        <v>0</v>
      </c>
      <c r="AV231" s="54">
        <f t="shared" si="105"/>
        <v>0</v>
      </c>
      <c r="AX231" s="329"/>
      <c r="AY231" s="54"/>
      <c r="BA231" s="52">
        <f t="shared" ref="BA231:BM231" si="106">SUM(BA207:BA230)</f>
        <v>19142</v>
      </c>
      <c r="BB231" s="53">
        <f t="shared" si="106"/>
        <v>0</v>
      </c>
      <c r="BC231" s="53">
        <f t="shared" ref="BC231:BL231" si="107">SUM(BC207:BC230)</f>
        <v>185372672</v>
      </c>
      <c r="BD231" s="53">
        <f t="shared" si="107"/>
        <v>0</v>
      </c>
      <c r="BE231" s="53">
        <f t="shared" si="107"/>
        <v>710</v>
      </c>
      <c r="BF231" s="53">
        <f t="shared" si="107"/>
        <v>81</v>
      </c>
      <c r="BG231" s="53">
        <f t="shared" si="107"/>
        <v>48</v>
      </c>
      <c r="BH231" s="55"/>
      <c r="BI231" s="53">
        <f t="shared" si="107"/>
        <v>0</v>
      </c>
      <c r="BJ231" s="339"/>
      <c r="BK231" s="339"/>
      <c r="BL231" s="53">
        <f t="shared" si="107"/>
        <v>0</v>
      </c>
      <c r="BM231" s="54">
        <f t="shared" si="106"/>
        <v>4087</v>
      </c>
      <c r="BO231" s="52">
        <f>SUM(BO207:BO230)</f>
        <v>270</v>
      </c>
      <c r="BP231" s="54">
        <f>SUM(BP207:BP230)</f>
        <v>153</v>
      </c>
      <c r="BR231" s="81" t="s">
        <v>94</v>
      </c>
      <c r="BS231" s="80"/>
      <c r="BT231" s="82"/>
      <c r="BV231" s="52">
        <f>SUM(BV207:BV230)</f>
        <v>43</v>
      </c>
      <c r="BW231" s="53">
        <f>SUM(BW207:BW230)</f>
        <v>13</v>
      </c>
      <c r="BX231" s="53">
        <f t="shared" ref="BX231:DU231" si="108">SUM(BX207:BX230)</f>
        <v>0</v>
      </c>
      <c r="BY231" s="53">
        <f t="shared" si="108"/>
        <v>0</v>
      </c>
      <c r="BZ231" s="53">
        <f t="shared" si="108"/>
        <v>0</v>
      </c>
      <c r="CA231" s="53">
        <f t="shared" si="108"/>
        <v>0</v>
      </c>
      <c r="CB231" s="53">
        <f t="shared" si="108"/>
        <v>0</v>
      </c>
      <c r="CC231" s="53">
        <f t="shared" si="108"/>
        <v>0</v>
      </c>
      <c r="CD231" s="53">
        <f t="shared" si="108"/>
        <v>103</v>
      </c>
      <c r="CE231" s="53">
        <f t="shared" si="108"/>
        <v>0</v>
      </c>
      <c r="CF231" s="53">
        <f t="shared" si="108"/>
        <v>7</v>
      </c>
      <c r="CG231" s="53">
        <f t="shared" si="108"/>
        <v>2</v>
      </c>
      <c r="CH231" s="53">
        <f t="shared" si="108"/>
        <v>0</v>
      </c>
      <c r="CI231" s="53">
        <f t="shared" si="108"/>
        <v>102</v>
      </c>
      <c r="CJ231" s="53">
        <f t="shared" si="108"/>
        <v>124</v>
      </c>
      <c r="CK231" s="53">
        <f t="shared" si="108"/>
        <v>0</v>
      </c>
      <c r="CL231" s="53">
        <f t="shared" si="108"/>
        <v>0</v>
      </c>
      <c r="CM231" s="53">
        <f t="shared" si="108"/>
        <v>38</v>
      </c>
      <c r="CN231" s="53">
        <f t="shared" si="108"/>
        <v>0</v>
      </c>
      <c r="CO231" s="53">
        <f t="shared" si="108"/>
        <v>76</v>
      </c>
      <c r="CP231" s="53">
        <f t="shared" si="108"/>
        <v>0</v>
      </c>
      <c r="CQ231" s="53">
        <f t="shared" si="108"/>
        <v>0</v>
      </c>
      <c r="CR231" s="53">
        <f t="shared" si="108"/>
        <v>0</v>
      </c>
      <c r="CS231" s="53">
        <f t="shared" si="108"/>
        <v>32</v>
      </c>
      <c r="CT231" s="53">
        <f t="shared" si="108"/>
        <v>81</v>
      </c>
      <c r="CU231" s="53">
        <f t="shared" si="108"/>
        <v>72</v>
      </c>
      <c r="CV231" s="53">
        <f t="shared" si="108"/>
        <v>55</v>
      </c>
      <c r="CW231" s="53">
        <f t="shared" si="108"/>
        <v>0</v>
      </c>
      <c r="CX231" s="53">
        <f t="shared" si="108"/>
        <v>0</v>
      </c>
      <c r="CY231" s="53">
        <f t="shared" si="108"/>
        <v>0</v>
      </c>
      <c r="CZ231" s="53">
        <f t="shared" si="108"/>
        <v>0</v>
      </c>
      <c r="DA231" s="53">
        <f t="shared" si="108"/>
        <v>0</v>
      </c>
      <c r="DB231" s="53">
        <f t="shared" si="108"/>
        <v>144</v>
      </c>
      <c r="DC231" s="53">
        <f t="shared" si="108"/>
        <v>0</v>
      </c>
      <c r="DD231" s="53">
        <f t="shared" si="108"/>
        <v>0</v>
      </c>
      <c r="DE231" s="53">
        <f t="shared" si="108"/>
        <v>0</v>
      </c>
      <c r="DF231" s="53">
        <f t="shared" si="108"/>
        <v>0</v>
      </c>
      <c r="DG231" s="53">
        <f t="shared" si="108"/>
        <v>32</v>
      </c>
      <c r="DH231" s="53">
        <f t="shared" si="108"/>
        <v>11</v>
      </c>
      <c r="DI231" s="53">
        <f t="shared" si="108"/>
        <v>48</v>
      </c>
      <c r="DJ231" s="53">
        <f t="shared" si="108"/>
        <v>0</v>
      </c>
      <c r="DK231" s="53">
        <f t="shared" si="108"/>
        <v>0</v>
      </c>
      <c r="DL231" s="53">
        <f t="shared" si="108"/>
        <v>0</v>
      </c>
      <c r="DM231" s="53">
        <f t="shared" si="108"/>
        <v>63</v>
      </c>
      <c r="DN231" s="53">
        <f t="shared" si="108"/>
        <v>0</v>
      </c>
      <c r="DO231" s="53">
        <f t="shared" si="108"/>
        <v>11</v>
      </c>
      <c r="DP231" s="53">
        <f t="shared" si="108"/>
        <v>0</v>
      </c>
      <c r="DQ231" s="53">
        <f t="shared" si="108"/>
        <v>0</v>
      </c>
      <c r="DR231" s="53">
        <f t="shared" si="108"/>
        <v>0</v>
      </c>
      <c r="DS231" s="53">
        <f t="shared" si="108"/>
        <v>0</v>
      </c>
      <c r="DT231" s="53">
        <f t="shared" si="108"/>
        <v>63</v>
      </c>
      <c r="DU231" s="53">
        <f t="shared" si="108"/>
        <v>5</v>
      </c>
      <c r="DV231" s="54">
        <f t="shared" si="100"/>
        <v>1125</v>
      </c>
      <c r="DW231" s="48"/>
    </row>
    <row r="232" spans="1:127" s="6" customFormat="1" ht="12" thickTop="1">
      <c r="A232" s="213" t="s">
        <v>95</v>
      </c>
      <c r="B232" s="24"/>
      <c r="C232" s="39">
        <f t="shared" ref="C232:R232" si="109">ROUND(IF(ISERROR(AVERAGE(C207:C230)),0,AVERAGE(C207:C230)),0)</f>
        <v>3</v>
      </c>
      <c r="D232" s="24">
        <f t="shared" si="109"/>
        <v>19</v>
      </c>
      <c r="E232" s="24">
        <f t="shared" si="109"/>
        <v>2</v>
      </c>
      <c r="F232" s="24">
        <f t="shared" si="109"/>
        <v>1</v>
      </c>
      <c r="G232" s="24">
        <f t="shared" si="109"/>
        <v>2</v>
      </c>
      <c r="H232" s="24">
        <f t="shared" si="109"/>
        <v>1</v>
      </c>
      <c r="I232" s="24">
        <f>ROUND(IF(ISERROR(AVERAGE(I207:I230)),0,AVERAGE(I207:I230)),0)</f>
        <v>0</v>
      </c>
      <c r="J232" s="24">
        <f t="shared" si="109"/>
        <v>4</v>
      </c>
      <c r="K232" s="24">
        <f t="shared" si="109"/>
        <v>0</v>
      </c>
      <c r="L232" s="24">
        <f t="shared" si="109"/>
        <v>0</v>
      </c>
      <c r="M232" s="24"/>
      <c r="N232" s="24"/>
      <c r="O232" s="24">
        <f>ROUND(IF(ISERROR(AVERAGE(O207:O230)),0,AVERAGE(O207:O230)),0)</f>
        <v>13</v>
      </c>
      <c r="P232" s="24">
        <f t="shared" si="109"/>
        <v>1</v>
      </c>
      <c r="Q232" s="24">
        <f t="shared" si="109"/>
        <v>0</v>
      </c>
      <c r="R232" s="24">
        <f t="shared" si="109"/>
        <v>0</v>
      </c>
      <c r="S232" s="31">
        <f>SUM(C232:R232)</f>
        <v>46</v>
      </c>
      <c r="T232" s="24">
        <f>ROUND(IF(ISERROR(AVERAGE(T207:T230)),0,AVERAGE(T207:T230)),0)</f>
        <v>7</v>
      </c>
      <c r="U232" s="24">
        <f>ROUND(IF(ISERROR(AVERAGE(U207:U230)),0,AVERAGE(U207:U230)),0)</f>
        <v>0</v>
      </c>
      <c r="V232" s="24">
        <f>ROUND(IF(ISERROR(AVERAGE(V207:V230)),0,AVERAGE(V207:V230)),0)</f>
        <v>0</v>
      </c>
      <c r="W232" s="24">
        <f>ROUND(IF(ISERROR(AVERAGE(W207:W230)),0,AVERAGE(W207:W230)),0)</f>
        <v>2</v>
      </c>
      <c r="X232" s="40">
        <f>ROUND(IF(ISERROR(AVERAGE(X207:X230)),0,AVERAGE(X207:X230)),0)</f>
        <v>1</v>
      </c>
      <c r="Z232" s="39">
        <f>ROUND(IF(ISERROR(AVERAGE(Z207:Z230)),0,AVERAGE(Z207:Z230)),0)</f>
        <v>920152</v>
      </c>
      <c r="AA232" s="24">
        <f>ROUND(IF(ISERROR(AVERAGE(AA207:AA230)),0,AVERAGE(AA207:AA230)),0)</f>
        <v>1035890</v>
      </c>
      <c r="AB232" s="24"/>
      <c r="AC232" s="39">
        <f>ROUND(IF(ISERROR(AVERAGE(AC207:AC230)),0,AVERAGE(AC207:AC230)),0)</f>
        <v>0</v>
      </c>
      <c r="AD232" s="24">
        <f>ROUND(IF(ISERROR(AVERAGE(AD207:AD230)),0,AVERAGE(AD207:AD230)),0)</f>
        <v>0</v>
      </c>
      <c r="AE232" s="31">
        <f>SUM(AC232:AD232)</f>
        <v>0</v>
      </c>
      <c r="AG232" s="39">
        <f>ROUND(IF(ISERROR(AVERAGE(AG207:AG230)),0,AVERAGE(AG207:AG230)),0)</f>
        <v>90</v>
      </c>
      <c r="AH232" s="24">
        <f>ROUND(IF(ISERROR(AVERAGE(AH207:AH230)),0,AVERAGE(AH207:AH230)),0)</f>
        <v>32</v>
      </c>
      <c r="AI232" s="24">
        <f>ROUND(IF(ISERROR(AVERAGE(AI207:AI230)),0,AVERAGE(AI207:AI230)),0)</f>
        <v>140</v>
      </c>
      <c r="AJ232" s="40">
        <f>ROUND(IF(ISERROR(AVERAGE(AJ207:AJ230)),0,AVERAGE(AJ207:AJ230)),0)</f>
        <v>27</v>
      </c>
      <c r="AL232" s="39">
        <f>ROUND(IF(ISERROR(AVERAGE(AL207:AL230)),0,AVERAGE(AL207:AL230)),0)</f>
        <v>33</v>
      </c>
      <c r="AM232" s="24">
        <f>ROUND(IF(ISERROR(AVERAGE(AM207:AM230)),0,AVERAGE(AM207:AM230)),0)</f>
        <v>144</v>
      </c>
      <c r="AN232" s="31">
        <f>SUM(AL232:AM232)</f>
        <v>177</v>
      </c>
      <c r="AO232" s="24">
        <f>ROUND(IF(ISERROR(AVERAGE(AO207:AO230)),0,AVERAGE(AO207:AO230)),0)</f>
        <v>171</v>
      </c>
      <c r="AP232" s="24">
        <f>ROUND(IF(ISERROR(AVERAGE(AP207:AP230)),0,AVERAGE(AP207:AP230)),0)</f>
        <v>23</v>
      </c>
      <c r="AQ232" s="31">
        <f>SUM(AO232:AP232)</f>
        <v>194</v>
      </c>
      <c r="AR232" s="24">
        <f>ROUND(IF(ISERROR(AVERAGE(AR207:AR230)),0,AVERAGE(AR207:AR230)),0)</f>
        <v>0</v>
      </c>
      <c r="AS232" s="24">
        <f>ROUND(IF(ISERROR(AVERAGE(AS207:AS230)),0,AVERAGE(AS207:AS230)),0)</f>
        <v>0</v>
      </c>
      <c r="AT232" s="24">
        <f>ROUND(IF(ISERROR(AVERAGE(AT207:AT230)),0,AVERAGE(AT207:AT230)),0)</f>
        <v>0</v>
      </c>
      <c r="AU232" s="24">
        <f>ROUND(IF(ISERROR(AVERAGE(AU207:AU230)),0,AVERAGE(AU207:AU230)),0)</f>
        <v>0</v>
      </c>
      <c r="AV232" s="40">
        <f>ROUND(IF(ISERROR(AVERAGE(AV207:AV230)),0,AVERAGE(AV207:AV230)),0)</f>
        <v>0</v>
      </c>
      <c r="AX232" s="330"/>
      <c r="AY232" s="40"/>
      <c r="BA232" s="39">
        <f t="shared" ref="BA232:BM232" si="110">ROUND(IF(ISERROR(AVERAGE(BA207:BA230)),0,AVERAGE(BA207:BA230)),0)</f>
        <v>1595</v>
      </c>
      <c r="BB232" s="24">
        <f t="shared" si="110"/>
        <v>0</v>
      </c>
      <c r="BC232" s="24">
        <f t="shared" ref="BC232:BL232" si="111">ROUND(IF(ISERROR(AVERAGE(BC207:BC230)),0,AVERAGE(BC207:BC230)),0)</f>
        <v>18537267</v>
      </c>
      <c r="BD232" s="24">
        <f t="shared" si="111"/>
        <v>0</v>
      </c>
      <c r="BE232" s="24">
        <f t="shared" si="111"/>
        <v>59</v>
      </c>
      <c r="BF232" s="24">
        <f t="shared" si="111"/>
        <v>7</v>
      </c>
      <c r="BG232" s="24">
        <f t="shared" si="111"/>
        <v>4</v>
      </c>
      <c r="BH232" s="31"/>
      <c r="BI232" s="24">
        <f t="shared" si="111"/>
        <v>0</v>
      </c>
      <c r="BJ232" s="340"/>
      <c r="BK232" s="340"/>
      <c r="BL232" s="24">
        <f t="shared" si="111"/>
        <v>0</v>
      </c>
      <c r="BM232" s="40">
        <f t="shared" si="110"/>
        <v>4087</v>
      </c>
      <c r="BO232" s="39">
        <f>ROUND(IF(ISERROR(AVERAGE(BO207:BO230)),0,AVERAGE(BO207:BO230)),0)</f>
        <v>270</v>
      </c>
      <c r="BP232" s="40">
        <f>ROUND(IF(ISERROR(AVERAGE(BP207:BP230)),0,AVERAGE(BP207:BP230)),0)</f>
        <v>153</v>
      </c>
      <c r="BR232" s="65" t="s">
        <v>96</v>
      </c>
      <c r="BS232" s="19"/>
      <c r="BT232" s="14"/>
      <c r="BV232" s="39">
        <f>ROUND(IF(ISERROR(AVERAGE(BV207:BV230)),0,AVERAGE(BV207:BV230)),0)</f>
        <v>2</v>
      </c>
      <c r="BW232" s="24">
        <f>ROUND(IF(ISERROR(AVERAGE(BW207:BW230)),0,AVERAGE(BW207:BW230)),0)</f>
        <v>1</v>
      </c>
      <c r="BX232" s="24">
        <f t="shared" ref="BX232:DU232" si="112">ROUND(IF(ISERROR(AVERAGE(BX207:BX230)),0,AVERAGE(BX207:BX230)),0)</f>
        <v>0</v>
      </c>
      <c r="BY232" s="24">
        <f t="shared" si="112"/>
        <v>0</v>
      </c>
      <c r="BZ232" s="24">
        <f t="shared" si="112"/>
        <v>0</v>
      </c>
      <c r="CA232" s="24">
        <f t="shared" si="112"/>
        <v>0</v>
      </c>
      <c r="CB232" s="24">
        <f t="shared" si="112"/>
        <v>0</v>
      </c>
      <c r="CC232" s="24">
        <f t="shared" si="112"/>
        <v>0</v>
      </c>
      <c r="CD232" s="24">
        <f t="shared" si="112"/>
        <v>4</v>
      </c>
      <c r="CE232" s="24">
        <f t="shared" si="112"/>
        <v>0</v>
      </c>
      <c r="CF232" s="24">
        <f t="shared" si="112"/>
        <v>0</v>
      </c>
      <c r="CG232" s="24">
        <f t="shared" si="112"/>
        <v>0</v>
      </c>
      <c r="CH232" s="24">
        <f t="shared" si="112"/>
        <v>0</v>
      </c>
      <c r="CI232" s="24">
        <f t="shared" si="112"/>
        <v>4</v>
      </c>
      <c r="CJ232" s="24">
        <f t="shared" si="112"/>
        <v>5</v>
      </c>
      <c r="CK232" s="24">
        <f t="shared" si="112"/>
        <v>0</v>
      </c>
      <c r="CL232" s="24">
        <f t="shared" si="112"/>
        <v>0</v>
      </c>
      <c r="CM232" s="24">
        <f t="shared" si="112"/>
        <v>2</v>
      </c>
      <c r="CN232" s="24">
        <f t="shared" si="112"/>
        <v>0</v>
      </c>
      <c r="CO232" s="24">
        <f t="shared" si="112"/>
        <v>3</v>
      </c>
      <c r="CP232" s="24">
        <f t="shared" si="112"/>
        <v>0</v>
      </c>
      <c r="CQ232" s="24">
        <f t="shared" si="112"/>
        <v>0</v>
      </c>
      <c r="CR232" s="24">
        <f t="shared" si="112"/>
        <v>0</v>
      </c>
      <c r="CS232" s="24">
        <f t="shared" si="112"/>
        <v>1</v>
      </c>
      <c r="CT232" s="24">
        <f t="shared" si="112"/>
        <v>3</v>
      </c>
      <c r="CU232" s="24">
        <f t="shared" si="112"/>
        <v>3</v>
      </c>
      <c r="CV232" s="24">
        <f t="shared" si="112"/>
        <v>2</v>
      </c>
      <c r="CW232" s="24">
        <f t="shared" si="112"/>
        <v>0</v>
      </c>
      <c r="CX232" s="24">
        <f t="shared" si="112"/>
        <v>0</v>
      </c>
      <c r="CY232" s="24">
        <f t="shared" si="112"/>
        <v>0</v>
      </c>
      <c r="CZ232" s="24">
        <f t="shared" si="112"/>
        <v>0</v>
      </c>
      <c r="DA232" s="24">
        <f t="shared" si="112"/>
        <v>0</v>
      </c>
      <c r="DB232" s="24">
        <f t="shared" si="112"/>
        <v>6</v>
      </c>
      <c r="DC232" s="24">
        <f t="shared" si="112"/>
        <v>0</v>
      </c>
      <c r="DD232" s="24">
        <f t="shared" si="112"/>
        <v>0</v>
      </c>
      <c r="DE232" s="24">
        <f t="shared" si="112"/>
        <v>0</v>
      </c>
      <c r="DF232" s="24">
        <f t="shared" si="112"/>
        <v>0</v>
      </c>
      <c r="DG232" s="24">
        <f t="shared" si="112"/>
        <v>1</v>
      </c>
      <c r="DH232" s="24">
        <f t="shared" si="112"/>
        <v>0</v>
      </c>
      <c r="DI232" s="24">
        <f t="shared" si="112"/>
        <v>2</v>
      </c>
      <c r="DJ232" s="24">
        <f t="shared" si="112"/>
        <v>0</v>
      </c>
      <c r="DK232" s="24">
        <f t="shared" si="112"/>
        <v>0</v>
      </c>
      <c r="DL232" s="24">
        <f t="shared" si="112"/>
        <v>0</v>
      </c>
      <c r="DM232" s="24">
        <f t="shared" si="112"/>
        <v>3</v>
      </c>
      <c r="DN232" s="24">
        <f t="shared" si="112"/>
        <v>0</v>
      </c>
      <c r="DO232" s="24">
        <f t="shared" si="112"/>
        <v>0</v>
      </c>
      <c r="DP232" s="24">
        <f t="shared" si="112"/>
        <v>0</v>
      </c>
      <c r="DQ232" s="24">
        <f t="shared" si="112"/>
        <v>0</v>
      </c>
      <c r="DR232" s="24">
        <f t="shared" si="112"/>
        <v>0</v>
      </c>
      <c r="DS232" s="24">
        <f t="shared" si="112"/>
        <v>0</v>
      </c>
      <c r="DT232" s="24">
        <f t="shared" si="112"/>
        <v>3</v>
      </c>
      <c r="DU232" s="24">
        <f t="shared" si="112"/>
        <v>0</v>
      </c>
      <c r="DV232" s="18"/>
      <c r="DW232" s="48"/>
    </row>
    <row r="233" spans="1:127" customFormat="1">
      <c r="A233" s="210" t="s">
        <v>97</v>
      </c>
      <c r="B233" s="211"/>
      <c r="C233" s="8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30">
        <f>MEDIAN(S207:S230)</f>
        <v>39</v>
      </c>
      <c r="T233" s="10"/>
      <c r="U233" s="10"/>
      <c r="V233" s="10"/>
      <c r="W233" s="10"/>
      <c r="X233" s="5"/>
      <c r="Y233" s="10"/>
      <c r="Z233" s="8"/>
      <c r="AA233" s="10">
        <f>IF(ISERROR(MEDIAN(AA207:AA230)),"",MEDIAN(AA207:AA230))</f>
        <v>964231.5</v>
      </c>
      <c r="AB233" s="10"/>
      <c r="AC233" s="8"/>
      <c r="AD233" s="10"/>
      <c r="AE233" s="30"/>
      <c r="AF233" s="10"/>
      <c r="AG233" s="8"/>
      <c r="AH233" s="10"/>
      <c r="AI233" s="10">
        <f>IF(ISERROR(MEDIAN(AI207:AI230)),"",MEDIAN(AI207:AI230))</f>
        <v>152</v>
      </c>
      <c r="AJ233" s="5">
        <f>IF(ISERROR(MEDIAN(AJ207:AJ230)),"",MEDIAN(AJ207:AJ230))</f>
        <v>24</v>
      </c>
      <c r="AK233" s="10"/>
      <c r="AL233" s="8"/>
      <c r="AM233" s="10"/>
      <c r="AN233" s="30"/>
      <c r="AO233" s="10"/>
      <c r="AP233" s="10"/>
      <c r="AQ233" s="30"/>
      <c r="AR233" s="10"/>
      <c r="AS233" s="10"/>
      <c r="AT233" s="10"/>
      <c r="AU233" s="10"/>
      <c r="AV233" s="5"/>
      <c r="AW233" s="10"/>
      <c r="AX233" s="326"/>
      <c r="AY233" s="5"/>
      <c r="AZ233" s="10"/>
      <c r="BA233" s="8">
        <f>IF(ISERROR(MEDIAN(BA207:BA230)),"",MEDIAN(BA207:BA230))</f>
        <v>1596.5</v>
      </c>
      <c r="BB233" s="10"/>
      <c r="BC233" s="10"/>
      <c r="BD233" s="10"/>
      <c r="BE233" s="10"/>
      <c r="BF233" s="10"/>
      <c r="BG233" s="10"/>
      <c r="BH233" s="30"/>
      <c r="BI233" s="10"/>
      <c r="BJ233" s="338"/>
      <c r="BK233" s="338"/>
      <c r="BL233" s="303"/>
      <c r="BM233" s="5"/>
      <c r="BN233" s="10"/>
      <c r="BO233" s="8"/>
      <c r="BP233" s="5"/>
      <c r="BQ233" s="10"/>
      <c r="BR233" s="65"/>
      <c r="BS233" s="19"/>
      <c r="BT233" s="14"/>
      <c r="BU233" s="10"/>
      <c r="BV233" s="8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5"/>
      <c r="DW233" s="21"/>
    </row>
    <row r="234" spans="1:127" customFormat="1" ht="12" thickBot="1">
      <c r="A234" s="214" t="s">
        <v>98</v>
      </c>
      <c r="B234" s="195"/>
      <c r="C234" s="41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32">
        <f>MODE(S207:S230)</f>
        <v>28</v>
      </c>
      <c r="T234" s="22"/>
      <c r="U234" s="22"/>
      <c r="V234" s="22"/>
      <c r="W234" s="22"/>
      <c r="X234" s="42"/>
      <c r="Y234" s="22"/>
      <c r="Z234" s="41"/>
      <c r="AA234" s="22"/>
      <c r="AB234" s="22"/>
      <c r="AC234" s="41"/>
      <c r="AD234" s="22"/>
      <c r="AE234" s="32"/>
      <c r="AF234" s="22"/>
      <c r="AG234" s="41"/>
      <c r="AH234" s="22"/>
      <c r="AI234" s="22">
        <f>IF(ISERROR(MODE(AI207:AI230)),"",MODE(AI207:AI230))</f>
        <v>170</v>
      </c>
      <c r="AJ234" s="42">
        <f>IF(ISERROR(MODE(AJ207:AJ230)),"",MODE(AJ207:AJ230))</f>
        <v>20</v>
      </c>
      <c r="AK234" s="22"/>
      <c r="AL234" s="41"/>
      <c r="AM234" s="22"/>
      <c r="AN234" s="32"/>
      <c r="AO234" s="22"/>
      <c r="AP234" s="22"/>
      <c r="AQ234" s="32"/>
      <c r="AR234" s="22"/>
      <c r="AS234" s="22"/>
      <c r="AT234" s="22"/>
      <c r="AU234" s="22"/>
      <c r="AV234" s="42"/>
      <c r="AW234" s="22"/>
      <c r="AX234" s="331"/>
      <c r="AY234" s="42"/>
      <c r="AZ234" s="22"/>
      <c r="BA234" s="41"/>
      <c r="BB234" s="22"/>
      <c r="BC234" s="22"/>
      <c r="BD234" s="22"/>
      <c r="BE234" s="22"/>
      <c r="BF234" s="22"/>
      <c r="BG234" s="22"/>
      <c r="BH234" s="32"/>
      <c r="BI234" s="22"/>
      <c r="BJ234" s="341"/>
      <c r="BK234" s="341"/>
      <c r="BL234" s="306"/>
      <c r="BM234" s="42"/>
      <c r="BN234" s="22"/>
      <c r="BO234" s="41"/>
      <c r="BP234" s="42"/>
      <c r="BQ234" s="22"/>
      <c r="BR234" s="66"/>
      <c r="BS234" s="51"/>
      <c r="BT234" s="67"/>
      <c r="BU234" s="22"/>
      <c r="BV234" s="41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42"/>
      <c r="DW234" s="23"/>
    </row>
    <row r="235" spans="1:127" customFormat="1" ht="12" thickBot="1">
      <c r="A235" s="194"/>
      <c r="B235" s="194"/>
      <c r="C235" s="8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30"/>
      <c r="T235" s="10"/>
      <c r="U235" s="10"/>
      <c r="V235" s="10"/>
      <c r="W235" s="10"/>
      <c r="X235" s="5"/>
      <c r="Z235" s="8"/>
      <c r="AA235" s="10"/>
      <c r="AB235" s="10"/>
      <c r="AC235" s="8"/>
      <c r="AD235" s="10"/>
      <c r="AE235" s="30"/>
      <c r="AG235" s="8"/>
      <c r="AH235" s="10"/>
      <c r="AI235" s="10"/>
      <c r="AJ235" s="5"/>
      <c r="AL235" s="8"/>
      <c r="AM235" s="10"/>
      <c r="AN235" s="30"/>
      <c r="AO235" s="10"/>
      <c r="AP235" s="10"/>
      <c r="AQ235" s="30"/>
      <c r="AR235" s="10"/>
      <c r="AS235" s="10"/>
      <c r="AT235" s="10"/>
      <c r="AU235" s="10"/>
      <c r="AV235" s="5"/>
      <c r="AX235" s="326"/>
      <c r="AY235" s="5"/>
      <c r="AZ235" s="324"/>
      <c r="BA235" s="8"/>
      <c r="BB235" s="10"/>
      <c r="BC235" s="10"/>
      <c r="BD235" s="10"/>
      <c r="BE235" s="10"/>
      <c r="BF235" s="10"/>
      <c r="BG235" s="10"/>
      <c r="BH235" s="30"/>
      <c r="BI235" s="10"/>
      <c r="BJ235" s="338"/>
      <c r="BK235" s="338"/>
      <c r="BL235" s="303"/>
      <c r="BM235" s="5"/>
      <c r="BO235" s="8"/>
      <c r="BP235" s="5"/>
      <c r="BR235" s="65"/>
      <c r="BS235" s="19"/>
      <c r="BT235" s="14"/>
      <c r="BV235" s="8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5"/>
    </row>
    <row r="236" spans="1:127" customFormat="1">
      <c r="A236" s="208">
        <v>34881</v>
      </c>
      <c r="B236" s="209"/>
      <c r="C236" s="36">
        <v>0</v>
      </c>
      <c r="D236" s="9">
        <v>30</v>
      </c>
      <c r="E236" s="9">
        <v>0</v>
      </c>
      <c r="F236" s="9">
        <v>0</v>
      </c>
      <c r="G236" s="9">
        <v>0</v>
      </c>
      <c r="H236" s="9">
        <v>2</v>
      </c>
      <c r="I236" s="9">
        <v>0</v>
      </c>
      <c r="J236" s="9">
        <v>0</v>
      </c>
      <c r="K236" s="9">
        <v>0</v>
      </c>
      <c r="L236" s="9">
        <v>0</v>
      </c>
      <c r="M236" s="9"/>
      <c r="N236" s="9"/>
      <c r="O236" s="9">
        <v>14</v>
      </c>
      <c r="P236" s="9">
        <v>8</v>
      </c>
      <c r="Q236" s="9">
        <v>0</v>
      </c>
      <c r="R236" s="9">
        <v>0</v>
      </c>
      <c r="S236" s="33">
        <f t="shared" ref="S236:S259" si="113">SUM(C236:R236)</f>
        <v>54</v>
      </c>
      <c r="T236" s="9">
        <v>1</v>
      </c>
      <c r="U236" s="9"/>
      <c r="V236" s="9"/>
      <c r="W236" s="9">
        <v>0</v>
      </c>
      <c r="X236" s="37">
        <v>0</v>
      </c>
      <c r="Y236" s="9"/>
      <c r="Z236" s="36">
        <v>981859</v>
      </c>
      <c r="AA236" s="9">
        <v>1173125</v>
      </c>
      <c r="AB236" s="9"/>
      <c r="AC236" s="36">
        <v>1192448</v>
      </c>
      <c r="AD236" s="9">
        <v>1201016</v>
      </c>
      <c r="AE236" s="33">
        <f t="shared" ref="AE236:AE259" si="114">SUM(AC236:AD236)</f>
        <v>2393464</v>
      </c>
      <c r="AF236" s="9"/>
      <c r="AG236" s="36">
        <v>51</v>
      </c>
      <c r="AH236" s="9">
        <v>44</v>
      </c>
      <c r="AI236" s="9">
        <v>132</v>
      </c>
      <c r="AJ236" s="37">
        <v>30</v>
      </c>
      <c r="AK236" s="9"/>
      <c r="AL236" s="36">
        <v>32</v>
      </c>
      <c r="AM236" s="9">
        <v>149</v>
      </c>
      <c r="AN236" s="33">
        <f>SUM(AL236:AM236)</f>
        <v>181</v>
      </c>
      <c r="AO236" s="9">
        <v>175</v>
      </c>
      <c r="AP236" s="9">
        <v>23</v>
      </c>
      <c r="AQ236" s="33">
        <f>SUM(AO236:AP236)</f>
        <v>198</v>
      </c>
      <c r="AR236" s="92"/>
      <c r="AS236" s="92"/>
      <c r="AT236" s="92"/>
      <c r="AU236" s="92"/>
      <c r="AV236" s="93"/>
      <c r="AW236" s="9"/>
      <c r="AX236" s="325"/>
      <c r="AY236" s="37"/>
      <c r="AZ236" s="9"/>
      <c r="BA236" s="36">
        <v>1599</v>
      </c>
      <c r="BB236" s="9"/>
      <c r="BC236" s="9">
        <v>18634752</v>
      </c>
      <c r="BD236" s="9"/>
      <c r="BE236" s="9">
        <v>44</v>
      </c>
      <c r="BF236" s="9">
        <v>4</v>
      </c>
      <c r="BG236" s="9">
        <v>2</v>
      </c>
      <c r="BH236" s="350"/>
      <c r="BI236" s="9"/>
      <c r="BJ236" s="337"/>
      <c r="BK236" s="337"/>
      <c r="BL236" s="302"/>
      <c r="BM236" s="37"/>
      <c r="BN236" s="9"/>
      <c r="BO236" s="36"/>
      <c r="BP236" s="37"/>
      <c r="BQ236" s="9"/>
      <c r="BR236" s="74">
        <v>1996</v>
      </c>
      <c r="BS236" s="75">
        <v>1995</v>
      </c>
      <c r="BT236" s="13">
        <v>13</v>
      </c>
      <c r="BU236" s="9"/>
      <c r="BV236" s="36">
        <v>0</v>
      </c>
      <c r="BW236" s="9">
        <v>0</v>
      </c>
      <c r="BX236" s="9"/>
      <c r="BY236" s="9"/>
      <c r="BZ236" s="9"/>
      <c r="CA236" s="9"/>
      <c r="CB236" s="9"/>
      <c r="CC236" s="223"/>
      <c r="CD236" s="9">
        <v>3</v>
      </c>
      <c r="CE236" s="220"/>
      <c r="CF236" s="9">
        <v>1</v>
      </c>
      <c r="CG236" s="9">
        <v>0</v>
      </c>
      <c r="CH236" s="9"/>
      <c r="CI236" s="9">
        <v>0</v>
      </c>
      <c r="CJ236" s="9">
        <v>13</v>
      </c>
      <c r="CK236" s="9"/>
      <c r="CL236" s="9"/>
      <c r="CM236" s="9">
        <v>0</v>
      </c>
      <c r="CN236" s="9"/>
      <c r="CO236" s="9">
        <v>0</v>
      </c>
      <c r="CP236" s="220"/>
      <c r="CQ236" s="9"/>
      <c r="CR236" s="9"/>
      <c r="CS236" s="9">
        <v>0</v>
      </c>
      <c r="CT236" s="9">
        <v>13</v>
      </c>
      <c r="CU236" s="9">
        <v>1</v>
      </c>
      <c r="CV236" s="9">
        <v>0</v>
      </c>
      <c r="CW236" s="9"/>
      <c r="CX236" s="9"/>
      <c r="CY236" s="9">
        <v>0</v>
      </c>
      <c r="CZ236" s="9"/>
      <c r="DA236" s="9"/>
      <c r="DB236" s="9">
        <v>0</v>
      </c>
      <c r="DC236" s="9"/>
      <c r="DD236" s="9"/>
      <c r="DE236" s="9"/>
      <c r="DF236" s="9"/>
      <c r="DG236" s="9">
        <v>1</v>
      </c>
      <c r="DH236" s="9">
        <v>0</v>
      </c>
      <c r="DI236" s="9">
        <v>0</v>
      </c>
      <c r="DJ236" s="9">
        <v>0</v>
      </c>
      <c r="DK236" s="9"/>
      <c r="DL236" s="9"/>
      <c r="DM236" s="9">
        <v>5</v>
      </c>
      <c r="DN236" s="9"/>
      <c r="DO236" s="9">
        <v>1</v>
      </c>
      <c r="DP236" s="9"/>
      <c r="DQ236" s="9"/>
      <c r="DR236" s="9"/>
      <c r="DS236" s="9">
        <v>0</v>
      </c>
      <c r="DT236" s="9">
        <v>16</v>
      </c>
      <c r="DU236" s="9">
        <v>0</v>
      </c>
      <c r="DV236" s="44">
        <f t="shared" ref="DV236:DV260" si="115">SUM(BV236:DU236)</f>
        <v>54</v>
      </c>
      <c r="DW236" s="13" t="str">
        <f t="shared" ref="DW236:DW259" si="116">IF(DV236=S236,"","PROB")</f>
        <v/>
      </c>
    </row>
    <row r="237" spans="1:127" customFormat="1">
      <c r="A237" s="210">
        <v>34895</v>
      </c>
      <c r="B237" s="211"/>
      <c r="C237" s="8">
        <v>1</v>
      </c>
      <c r="D237" s="10">
        <v>15</v>
      </c>
      <c r="E237" s="10">
        <v>0</v>
      </c>
      <c r="F237" s="10">
        <v>0</v>
      </c>
      <c r="G237" s="10">
        <v>0</v>
      </c>
      <c r="H237" s="10">
        <v>4</v>
      </c>
      <c r="I237" s="10">
        <v>0</v>
      </c>
      <c r="J237" s="10">
        <v>0</v>
      </c>
      <c r="K237" s="59">
        <v>0</v>
      </c>
      <c r="L237" s="59">
        <v>0</v>
      </c>
      <c r="M237" s="59"/>
      <c r="N237" s="59"/>
      <c r="O237" s="10">
        <v>10</v>
      </c>
      <c r="P237" s="10">
        <v>0</v>
      </c>
      <c r="Q237" s="10">
        <v>0</v>
      </c>
      <c r="R237" s="10">
        <v>0</v>
      </c>
      <c r="S237" s="35">
        <f t="shared" si="113"/>
        <v>30</v>
      </c>
      <c r="T237" s="10">
        <v>5</v>
      </c>
      <c r="U237" s="10"/>
      <c r="V237" s="10"/>
      <c r="W237" s="10">
        <v>0</v>
      </c>
      <c r="X237" s="5">
        <v>0</v>
      </c>
      <c r="Y237" s="10"/>
      <c r="Z237" s="8">
        <v>1007506</v>
      </c>
      <c r="AA237" s="10">
        <v>415573</v>
      </c>
      <c r="AB237" s="10"/>
      <c r="AC237" s="61">
        <v>408290</v>
      </c>
      <c r="AD237" s="59">
        <v>1346179</v>
      </c>
      <c r="AE237" s="35">
        <f t="shared" si="114"/>
        <v>1754469</v>
      </c>
      <c r="AF237" s="10"/>
      <c r="AG237" s="8">
        <v>36</v>
      </c>
      <c r="AH237" s="10">
        <v>53</v>
      </c>
      <c r="AI237" s="10">
        <v>102</v>
      </c>
      <c r="AJ237" s="5">
        <v>28</v>
      </c>
      <c r="AK237" s="10"/>
      <c r="AL237" s="8"/>
      <c r="AM237" s="10"/>
      <c r="AN237" s="35"/>
      <c r="AO237" s="10"/>
      <c r="AP237" s="10"/>
      <c r="AQ237" s="35"/>
      <c r="AR237" s="59"/>
      <c r="AS237" s="59"/>
      <c r="AT237" s="59"/>
      <c r="AU237" s="59"/>
      <c r="AV237" s="62"/>
      <c r="AW237" s="10"/>
      <c r="AX237" s="326"/>
      <c r="AY237" s="5"/>
      <c r="AZ237" s="10"/>
      <c r="BA237" s="8"/>
      <c r="BB237" s="10"/>
      <c r="BC237" s="10"/>
      <c r="BD237" s="10"/>
      <c r="BE237" s="10"/>
      <c r="BF237" s="10"/>
      <c r="BG237" s="10"/>
      <c r="BH237" s="30"/>
      <c r="BI237" s="10"/>
      <c r="BJ237" s="338"/>
      <c r="BK237" s="338"/>
      <c r="BL237" s="303"/>
      <c r="BM237" s="5"/>
      <c r="BN237" s="10"/>
      <c r="BO237" s="8"/>
      <c r="BP237" s="5"/>
      <c r="BQ237" s="10"/>
      <c r="BR237" s="29">
        <v>1996</v>
      </c>
      <c r="BS237" s="64">
        <v>1995</v>
      </c>
      <c r="BT237" s="14">
        <v>14</v>
      </c>
      <c r="BU237" s="10"/>
      <c r="BV237" s="8">
        <v>0</v>
      </c>
      <c r="BW237" s="10">
        <v>2</v>
      </c>
      <c r="BX237" s="10"/>
      <c r="BY237" s="10"/>
      <c r="BZ237" s="10"/>
      <c r="CA237" s="10"/>
      <c r="CB237" s="10"/>
      <c r="CC237" s="221"/>
      <c r="CD237" s="10">
        <v>3</v>
      </c>
      <c r="CE237" s="317"/>
      <c r="CF237" s="10">
        <v>5</v>
      </c>
      <c r="CG237" s="10">
        <v>0</v>
      </c>
      <c r="CH237" s="10"/>
      <c r="CI237" s="10">
        <v>0</v>
      </c>
      <c r="CJ237" s="10">
        <v>1</v>
      </c>
      <c r="CK237" s="10"/>
      <c r="CL237" s="10"/>
      <c r="CM237" s="10">
        <v>0</v>
      </c>
      <c r="CN237" s="10"/>
      <c r="CO237" s="10">
        <v>3</v>
      </c>
      <c r="CP237" s="317"/>
      <c r="CQ237" s="10"/>
      <c r="CR237" s="10"/>
      <c r="CS237" s="10">
        <v>2</v>
      </c>
      <c r="CT237" s="10">
        <v>6</v>
      </c>
      <c r="CU237" s="10">
        <v>3</v>
      </c>
      <c r="CV237" s="10">
        <v>0</v>
      </c>
      <c r="CW237" s="10"/>
      <c r="CX237" s="10"/>
      <c r="CY237" s="59">
        <v>0</v>
      </c>
      <c r="CZ237" s="59"/>
      <c r="DA237" s="59"/>
      <c r="DB237" s="10">
        <v>1</v>
      </c>
      <c r="DC237" s="10"/>
      <c r="DD237" s="10"/>
      <c r="DE237" s="10"/>
      <c r="DF237" s="10"/>
      <c r="DG237" s="10">
        <v>1</v>
      </c>
      <c r="DH237" s="10">
        <v>0</v>
      </c>
      <c r="DI237" s="10">
        <v>0</v>
      </c>
      <c r="DJ237" s="59">
        <v>0</v>
      </c>
      <c r="DK237" s="59"/>
      <c r="DL237" s="59"/>
      <c r="DM237" s="10">
        <v>3</v>
      </c>
      <c r="DN237" s="10"/>
      <c r="DO237" s="10">
        <v>0</v>
      </c>
      <c r="DP237" s="10"/>
      <c r="DQ237" s="10"/>
      <c r="DR237" s="10"/>
      <c r="DS237" s="59">
        <v>0</v>
      </c>
      <c r="DT237" s="10">
        <v>0</v>
      </c>
      <c r="DU237" s="10">
        <v>0</v>
      </c>
      <c r="DV237" s="38">
        <f t="shared" si="115"/>
        <v>30</v>
      </c>
      <c r="DW237" s="14" t="str">
        <f t="shared" si="116"/>
        <v/>
      </c>
    </row>
    <row r="238" spans="1:127" customFormat="1">
      <c r="A238" s="210">
        <v>34912</v>
      </c>
      <c r="B238" s="211"/>
      <c r="C238" s="8">
        <v>3</v>
      </c>
      <c r="D238" s="10">
        <v>28</v>
      </c>
      <c r="E238" s="10">
        <v>2</v>
      </c>
      <c r="F238" s="10">
        <v>1</v>
      </c>
      <c r="G238" s="10">
        <v>6</v>
      </c>
      <c r="H238" s="10">
        <v>1</v>
      </c>
      <c r="I238" s="10">
        <v>0</v>
      </c>
      <c r="J238" s="10">
        <v>3</v>
      </c>
      <c r="K238" s="59">
        <v>0</v>
      </c>
      <c r="L238" s="59">
        <v>0</v>
      </c>
      <c r="M238" s="59"/>
      <c r="N238" s="59"/>
      <c r="O238" s="10">
        <v>8</v>
      </c>
      <c r="P238" s="10">
        <v>0</v>
      </c>
      <c r="Q238" s="10">
        <v>0</v>
      </c>
      <c r="R238" s="10">
        <v>0</v>
      </c>
      <c r="S238" s="35">
        <f t="shared" si="113"/>
        <v>52</v>
      </c>
      <c r="T238" s="10">
        <v>3</v>
      </c>
      <c r="U238" s="10"/>
      <c r="V238" s="10"/>
      <c r="W238" s="10">
        <v>0</v>
      </c>
      <c r="X238" s="5">
        <v>0</v>
      </c>
      <c r="Y238" s="10"/>
      <c r="Z238" s="8">
        <v>1386170</v>
      </c>
      <c r="AA238" s="10">
        <v>643834</v>
      </c>
      <c r="AB238" s="10"/>
      <c r="AC238" s="61">
        <v>546146</v>
      </c>
      <c r="AD238" s="59">
        <v>1378191</v>
      </c>
      <c r="AE238" s="35">
        <f t="shared" si="114"/>
        <v>1924337</v>
      </c>
      <c r="AF238" s="10"/>
      <c r="AG238" s="8">
        <v>72</v>
      </c>
      <c r="AH238" s="10">
        <v>55</v>
      </c>
      <c r="AI238" s="10">
        <v>142</v>
      </c>
      <c r="AJ238" s="5">
        <v>36</v>
      </c>
      <c r="AK238" s="10"/>
      <c r="AL238" s="8"/>
      <c r="AM238" s="10"/>
      <c r="AN238" s="35"/>
      <c r="AO238" s="10"/>
      <c r="AP238" s="10"/>
      <c r="AQ238" s="35"/>
      <c r="AR238" s="59"/>
      <c r="AS238" s="59"/>
      <c r="AT238" s="59"/>
      <c r="AU238" s="59"/>
      <c r="AV238" s="62"/>
      <c r="AW238" s="10"/>
      <c r="AX238" s="326"/>
      <c r="AY238" s="5"/>
      <c r="AZ238" s="10"/>
      <c r="BA238" s="8">
        <v>1598</v>
      </c>
      <c r="BB238" s="10"/>
      <c r="BC238" s="10"/>
      <c r="BD238" s="10"/>
      <c r="BE238" s="10">
        <v>79</v>
      </c>
      <c r="BF238" s="10">
        <v>7</v>
      </c>
      <c r="BG238" s="10">
        <v>8</v>
      </c>
      <c r="BH238" s="30"/>
      <c r="BI238" s="10"/>
      <c r="BJ238" s="338"/>
      <c r="BK238" s="338"/>
      <c r="BL238" s="303"/>
      <c r="BM238" s="5"/>
      <c r="BN238" s="10"/>
      <c r="BO238" s="8"/>
      <c r="BP238" s="5"/>
      <c r="BQ238" s="10"/>
      <c r="BR238" s="29">
        <v>1996</v>
      </c>
      <c r="BS238" s="64">
        <v>1995</v>
      </c>
      <c r="BT238" s="14">
        <v>15</v>
      </c>
      <c r="BU238" s="10"/>
      <c r="BV238" s="8">
        <v>2</v>
      </c>
      <c r="BW238" s="10">
        <v>2</v>
      </c>
      <c r="BX238" s="10"/>
      <c r="BY238" s="10"/>
      <c r="BZ238" s="10"/>
      <c r="CA238" s="10"/>
      <c r="CB238" s="10"/>
      <c r="CC238" s="221"/>
      <c r="CD238" s="10">
        <v>4</v>
      </c>
      <c r="CE238" s="317"/>
      <c r="CF238" s="10">
        <v>0</v>
      </c>
      <c r="CG238" s="10">
        <v>0</v>
      </c>
      <c r="CH238" s="10"/>
      <c r="CI238" s="10">
        <v>0</v>
      </c>
      <c r="CJ238" s="10">
        <v>4</v>
      </c>
      <c r="CK238" s="10"/>
      <c r="CL238" s="10"/>
      <c r="CM238" s="10">
        <v>0</v>
      </c>
      <c r="CN238" s="10"/>
      <c r="CO238" s="10">
        <v>0</v>
      </c>
      <c r="CP238" s="317"/>
      <c r="CQ238" s="10"/>
      <c r="CR238" s="10"/>
      <c r="CS238" s="10">
        <v>0</v>
      </c>
      <c r="CT238" s="10">
        <v>12</v>
      </c>
      <c r="CU238" s="10">
        <v>10</v>
      </c>
      <c r="CV238" s="10">
        <v>2</v>
      </c>
      <c r="CW238" s="10"/>
      <c r="CX238" s="10"/>
      <c r="CY238" s="59">
        <v>0</v>
      </c>
      <c r="CZ238" s="59"/>
      <c r="DA238" s="59"/>
      <c r="DB238" s="10">
        <v>3</v>
      </c>
      <c r="DC238" s="10"/>
      <c r="DD238" s="10"/>
      <c r="DE238" s="10"/>
      <c r="DF238" s="10"/>
      <c r="DG238" s="10">
        <v>1</v>
      </c>
      <c r="DH238" s="10">
        <v>0</v>
      </c>
      <c r="DI238" s="10">
        <v>0</v>
      </c>
      <c r="DJ238" s="59">
        <v>0</v>
      </c>
      <c r="DK238" s="59"/>
      <c r="DL238" s="59"/>
      <c r="DM238" s="10">
        <v>2</v>
      </c>
      <c r="DN238" s="10"/>
      <c r="DO238" s="10">
        <v>1</v>
      </c>
      <c r="DP238" s="10"/>
      <c r="DQ238" s="10"/>
      <c r="DR238" s="10"/>
      <c r="DS238" s="59">
        <v>0</v>
      </c>
      <c r="DT238" s="10">
        <v>9</v>
      </c>
      <c r="DU238" s="10">
        <v>0</v>
      </c>
      <c r="DV238" s="38">
        <f t="shared" si="115"/>
        <v>52</v>
      </c>
      <c r="DW238" s="14" t="str">
        <f t="shared" si="116"/>
        <v/>
      </c>
    </row>
    <row r="239" spans="1:127" customFormat="1">
      <c r="A239" s="210">
        <v>34926</v>
      </c>
      <c r="B239" s="211"/>
      <c r="C239" s="8">
        <v>0</v>
      </c>
      <c r="D239" s="10">
        <v>5</v>
      </c>
      <c r="E239" s="10">
        <v>2</v>
      </c>
      <c r="F239" s="10">
        <v>0</v>
      </c>
      <c r="G239" s="10">
        <v>0</v>
      </c>
      <c r="H239" s="10">
        <v>1</v>
      </c>
      <c r="I239" s="10">
        <v>0</v>
      </c>
      <c r="J239" s="10">
        <v>6</v>
      </c>
      <c r="K239" s="59">
        <v>0</v>
      </c>
      <c r="L239" s="59">
        <v>0</v>
      </c>
      <c r="M239" s="59"/>
      <c r="N239" s="59"/>
      <c r="O239" s="10">
        <v>6</v>
      </c>
      <c r="P239" s="10">
        <v>2</v>
      </c>
      <c r="Q239" s="10">
        <v>0</v>
      </c>
      <c r="R239" s="10">
        <v>0</v>
      </c>
      <c r="S239" s="35">
        <f t="shared" si="113"/>
        <v>22</v>
      </c>
      <c r="T239" s="10">
        <v>0</v>
      </c>
      <c r="U239" s="10"/>
      <c r="V239" s="10"/>
      <c r="W239" s="10">
        <v>0</v>
      </c>
      <c r="X239" s="5">
        <v>0</v>
      </c>
      <c r="Y239" s="10"/>
      <c r="Z239" s="8">
        <v>1077523</v>
      </c>
      <c r="AA239" s="10">
        <v>910053</v>
      </c>
      <c r="AB239" s="10"/>
      <c r="AC239" s="61">
        <v>833823</v>
      </c>
      <c r="AD239" s="59">
        <v>926231</v>
      </c>
      <c r="AE239" s="35">
        <f t="shared" si="114"/>
        <v>1760054</v>
      </c>
      <c r="AF239" s="10"/>
      <c r="AG239" s="8">
        <v>14</v>
      </c>
      <c r="AH239" s="10">
        <v>60</v>
      </c>
      <c r="AI239" s="10">
        <v>94</v>
      </c>
      <c r="AJ239" s="5">
        <v>24</v>
      </c>
      <c r="AK239" s="10"/>
      <c r="AL239" s="8"/>
      <c r="AM239" s="10"/>
      <c r="AN239" s="35"/>
      <c r="AO239" s="10"/>
      <c r="AP239" s="10"/>
      <c r="AQ239" s="35"/>
      <c r="AR239" s="59"/>
      <c r="AS239" s="59"/>
      <c r="AT239" s="59"/>
      <c r="AU239" s="59"/>
      <c r="AV239" s="62"/>
      <c r="AW239" s="10"/>
      <c r="AX239" s="326"/>
      <c r="AY239" s="5"/>
      <c r="AZ239" s="10"/>
      <c r="BA239" s="8"/>
      <c r="BB239" s="10"/>
      <c r="BC239" s="10"/>
      <c r="BD239" s="10"/>
      <c r="BE239" s="10"/>
      <c r="BF239" s="10"/>
      <c r="BG239" s="10"/>
      <c r="BH239" s="30"/>
      <c r="BI239" s="10"/>
      <c r="BJ239" s="338"/>
      <c r="BK239" s="338"/>
      <c r="BL239" s="303"/>
      <c r="BM239" s="5"/>
      <c r="BN239" s="10"/>
      <c r="BO239" s="8"/>
      <c r="BP239" s="5"/>
      <c r="BQ239" s="10"/>
      <c r="BR239" s="29">
        <v>1996</v>
      </c>
      <c r="BS239" s="64">
        <v>1995</v>
      </c>
      <c r="BT239" s="14">
        <v>16</v>
      </c>
      <c r="BU239" s="10"/>
      <c r="BV239" s="8">
        <v>2</v>
      </c>
      <c r="BW239" s="10">
        <v>0</v>
      </c>
      <c r="BX239" s="10"/>
      <c r="BY239" s="10"/>
      <c r="BZ239" s="10"/>
      <c r="CA239" s="10"/>
      <c r="CB239" s="10"/>
      <c r="CC239" s="221"/>
      <c r="CD239" s="10">
        <v>4</v>
      </c>
      <c r="CE239" s="317"/>
      <c r="CF239" s="10">
        <v>0</v>
      </c>
      <c r="CG239" s="10">
        <v>0</v>
      </c>
      <c r="CH239" s="10"/>
      <c r="CI239" s="10">
        <v>1</v>
      </c>
      <c r="CJ239" s="10">
        <v>4</v>
      </c>
      <c r="CK239" s="10"/>
      <c r="CL239" s="10"/>
      <c r="CM239" s="10">
        <v>0</v>
      </c>
      <c r="CN239" s="10"/>
      <c r="CO239" s="10">
        <v>5</v>
      </c>
      <c r="CP239" s="317"/>
      <c r="CQ239" s="10"/>
      <c r="CR239" s="10"/>
      <c r="CS239" s="10">
        <v>3</v>
      </c>
      <c r="CT239" s="10">
        <v>0</v>
      </c>
      <c r="CU239" s="10">
        <v>0</v>
      </c>
      <c r="CV239" s="10">
        <v>0</v>
      </c>
      <c r="CW239" s="10"/>
      <c r="CX239" s="10"/>
      <c r="CY239" s="59">
        <v>0</v>
      </c>
      <c r="CZ239" s="59"/>
      <c r="DA239" s="59"/>
      <c r="DB239" s="10">
        <v>0</v>
      </c>
      <c r="DC239" s="10"/>
      <c r="DD239" s="10"/>
      <c r="DE239" s="10"/>
      <c r="DF239" s="10"/>
      <c r="DG239" s="10">
        <v>1</v>
      </c>
      <c r="DH239" s="10">
        <v>0</v>
      </c>
      <c r="DI239" s="10">
        <v>0</v>
      </c>
      <c r="DJ239" s="59">
        <v>0</v>
      </c>
      <c r="DK239" s="59"/>
      <c r="DL239" s="59"/>
      <c r="DM239" s="10">
        <v>4</v>
      </c>
      <c r="DN239" s="10"/>
      <c r="DO239" s="10">
        <v>0</v>
      </c>
      <c r="DP239" s="10"/>
      <c r="DQ239" s="10"/>
      <c r="DR239" s="10"/>
      <c r="DS239" s="59">
        <v>0</v>
      </c>
      <c r="DT239" s="10">
        <v>1</v>
      </c>
      <c r="DU239" s="10">
        <v>0</v>
      </c>
      <c r="DV239" s="38">
        <f t="shared" si="115"/>
        <v>25</v>
      </c>
      <c r="DW239" s="14" t="str">
        <f t="shared" si="116"/>
        <v>PROB</v>
      </c>
    </row>
    <row r="240" spans="1:127" customFormat="1">
      <c r="A240" s="210">
        <v>34943</v>
      </c>
      <c r="B240" s="211"/>
      <c r="C240" s="8">
        <v>1</v>
      </c>
      <c r="D240" s="10">
        <v>17</v>
      </c>
      <c r="E240" s="10">
        <v>0</v>
      </c>
      <c r="F240" s="10">
        <v>0</v>
      </c>
      <c r="G240" s="10">
        <v>4</v>
      </c>
      <c r="H240" s="10">
        <v>0</v>
      </c>
      <c r="I240" s="10">
        <v>0</v>
      </c>
      <c r="J240" s="10">
        <v>2</v>
      </c>
      <c r="K240" s="59">
        <v>0</v>
      </c>
      <c r="L240" s="59">
        <v>0</v>
      </c>
      <c r="M240" s="59"/>
      <c r="N240" s="59"/>
      <c r="O240" s="10">
        <v>11</v>
      </c>
      <c r="P240" s="10">
        <v>3</v>
      </c>
      <c r="Q240" s="10">
        <v>0</v>
      </c>
      <c r="R240" s="10">
        <v>0</v>
      </c>
      <c r="S240" s="35">
        <f t="shared" si="113"/>
        <v>38</v>
      </c>
      <c r="T240" s="10">
        <v>0</v>
      </c>
      <c r="U240" s="10"/>
      <c r="V240" s="10"/>
      <c r="W240" s="10">
        <v>0</v>
      </c>
      <c r="X240" s="5">
        <v>0</v>
      </c>
      <c r="Y240" s="10"/>
      <c r="Z240" s="8">
        <v>1463638</v>
      </c>
      <c r="AA240" s="10">
        <v>714839</v>
      </c>
      <c r="AB240" s="10"/>
      <c r="AC240" s="61">
        <v>713364</v>
      </c>
      <c r="AD240" s="59">
        <v>1229942</v>
      </c>
      <c r="AE240" s="35">
        <f t="shared" si="114"/>
        <v>1943306</v>
      </c>
      <c r="AF240" s="10"/>
      <c r="AG240" s="8">
        <v>63</v>
      </c>
      <c r="AH240" s="10">
        <v>64</v>
      </c>
      <c r="AI240" s="10">
        <v>146</v>
      </c>
      <c r="AJ240" s="5">
        <v>28</v>
      </c>
      <c r="AK240" s="10"/>
      <c r="AL240" s="8"/>
      <c r="AM240" s="10"/>
      <c r="AN240" s="35"/>
      <c r="AO240" s="10"/>
      <c r="AP240" s="10"/>
      <c r="AQ240" s="35"/>
      <c r="AR240" s="59"/>
      <c r="AS240" s="59"/>
      <c r="AT240" s="59"/>
      <c r="AU240" s="59"/>
      <c r="AV240" s="62"/>
      <c r="AW240" s="10"/>
      <c r="AX240" s="326"/>
      <c r="AY240" s="5"/>
      <c r="AZ240" s="10"/>
      <c r="BA240" s="8">
        <v>1606</v>
      </c>
      <c r="BB240" s="10"/>
      <c r="BC240" s="10">
        <v>18882560</v>
      </c>
      <c r="BD240" s="10"/>
      <c r="BE240" s="10">
        <v>71</v>
      </c>
      <c r="BF240" s="10">
        <v>10</v>
      </c>
      <c r="BG240" s="10">
        <v>2</v>
      </c>
      <c r="BH240" s="30"/>
      <c r="BI240" s="10"/>
      <c r="BJ240" s="338"/>
      <c r="BK240" s="338"/>
      <c r="BL240" s="303"/>
      <c r="BM240" s="5"/>
      <c r="BN240" s="10"/>
      <c r="BO240" s="8"/>
      <c r="BP240" s="5"/>
      <c r="BQ240" s="10"/>
      <c r="BR240" s="29">
        <v>1996</v>
      </c>
      <c r="BS240" s="64">
        <v>1995</v>
      </c>
      <c r="BT240" s="14">
        <v>17</v>
      </c>
      <c r="BU240" s="10"/>
      <c r="BV240" s="8">
        <v>0</v>
      </c>
      <c r="BW240" s="10">
        <v>1</v>
      </c>
      <c r="BX240" s="10"/>
      <c r="BY240" s="10"/>
      <c r="BZ240" s="10"/>
      <c r="CA240" s="10"/>
      <c r="CB240" s="10"/>
      <c r="CC240" s="221"/>
      <c r="CD240" s="10">
        <v>1</v>
      </c>
      <c r="CE240" s="317"/>
      <c r="CF240" s="10">
        <v>0</v>
      </c>
      <c r="CG240" s="10">
        <v>0</v>
      </c>
      <c r="CH240" s="10"/>
      <c r="CI240" s="10">
        <v>0</v>
      </c>
      <c r="CJ240" s="10">
        <v>6</v>
      </c>
      <c r="CK240" s="10"/>
      <c r="CL240" s="10"/>
      <c r="CM240" s="10">
        <v>0</v>
      </c>
      <c r="CN240" s="10"/>
      <c r="CO240" s="10">
        <v>1</v>
      </c>
      <c r="CP240" s="317"/>
      <c r="CQ240" s="10"/>
      <c r="CR240" s="10"/>
      <c r="CS240" s="10">
        <v>9</v>
      </c>
      <c r="CT240" s="10">
        <v>8</v>
      </c>
      <c r="CU240" s="10">
        <v>0</v>
      </c>
      <c r="CV240" s="10">
        <v>1</v>
      </c>
      <c r="CW240" s="10"/>
      <c r="CX240" s="10"/>
      <c r="CY240" s="59">
        <v>0</v>
      </c>
      <c r="CZ240" s="59"/>
      <c r="DA240" s="59"/>
      <c r="DB240" s="10">
        <v>0</v>
      </c>
      <c r="DC240" s="10"/>
      <c r="DD240" s="10"/>
      <c r="DE240" s="10"/>
      <c r="DF240" s="10"/>
      <c r="DG240" s="10">
        <v>2</v>
      </c>
      <c r="DH240" s="10">
        <v>0</v>
      </c>
      <c r="DI240" s="10">
        <v>0</v>
      </c>
      <c r="DJ240" s="59">
        <v>0</v>
      </c>
      <c r="DK240" s="59"/>
      <c r="DL240" s="59"/>
      <c r="DM240" s="10">
        <v>5</v>
      </c>
      <c r="DN240" s="10"/>
      <c r="DO240" s="10">
        <v>1</v>
      </c>
      <c r="DP240" s="10"/>
      <c r="DQ240" s="10"/>
      <c r="DR240" s="10"/>
      <c r="DS240" s="59">
        <v>0</v>
      </c>
      <c r="DT240" s="10">
        <v>0</v>
      </c>
      <c r="DU240" s="10">
        <v>0</v>
      </c>
      <c r="DV240" s="38">
        <f t="shared" si="115"/>
        <v>35</v>
      </c>
      <c r="DW240" s="14" t="str">
        <f t="shared" si="116"/>
        <v>PROB</v>
      </c>
    </row>
    <row r="241" spans="1:127" customFormat="1">
      <c r="A241" s="210">
        <v>34957</v>
      </c>
      <c r="B241" s="211"/>
      <c r="C241" s="8">
        <v>4</v>
      </c>
      <c r="D241" s="10">
        <v>21</v>
      </c>
      <c r="E241" s="10">
        <v>1</v>
      </c>
      <c r="F241" s="10">
        <v>0</v>
      </c>
      <c r="G241" s="10">
        <v>1</v>
      </c>
      <c r="H241" s="10">
        <v>0</v>
      </c>
      <c r="I241" s="10">
        <v>0</v>
      </c>
      <c r="J241" s="10">
        <v>0</v>
      </c>
      <c r="K241" s="59">
        <v>0</v>
      </c>
      <c r="L241" s="59">
        <v>0</v>
      </c>
      <c r="M241" s="59"/>
      <c r="N241" s="59"/>
      <c r="O241" s="10">
        <v>6</v>
      </c>
      <c r="P241" s="10">
        <v>0</v>
      </c>
      <c r="Q241" s="10">
        <v>0</v>
      </c>
      <c r="R241" s="10">
        <v>0</v>
      </c>
      <c r="S241" s="35">
        <f t="shared" si="113"/>
        <v>33</v>
      </c>
      <c r="T241" s="10">
        <v>1</v>
      </c>
      <c r="U241" s="10"/>
      <c r="V241" s="10"/>
      <c r="W241" s="10">
        <v>0</v>
      </c>
      <c r="X241" s="5">
        <v>0</v>
      </c>
      <c r="Y241" s="10"/>
      <c r="Z241" s="8">
        <v>1429572</v>
      </c>
      <c r="AA241" s="10">
        <v>476958</v>
      </c>
      <c r="AB241" s="10"/>
      <c r="AC241" s="61">
        <v>476958</v>
      </c>
      <c r="AD241" s="59">
        <v>1172043</v>
      </c>
      <c r="AE241" s="35">
        <f t="shared" si="114"/>
        <v>1649001</v>
      </c>
      <c r="AF241" s="10"/>
      <c r="AG241" s="8">
        <v>44</v>
      </c>
      <c r="AH241" s="10">
        <v>69</v>
      </c>
      <c r="AI241" s="10">
        <v>126</v>
      </c>
      <c r="AJ241" s="5">
        <v>24</v>
      </c>
      <c r="AK241" s="10"/>
      <c r="AL241" s="8"/>
      <c r="AM241" s="10"/>
      <c r="AN241" s="35"/>
      <c r="AO241" s="10"/>
      <c r="AP241" s="10"/>
      <c r="AQ241" s="35"/>
      <c r="AR241" s="59"/>
      <c r="AS241" s="59"/>
      <c r="AT241" s="59"/>
      <c r="AU241" s="59"/>
      <c r="AV241" s="62"/>
      <c r="AW241" s="10"/>
      <c r="AX241" s="326"/>
      <c r="AY241" s="5"/>
      <c r="AZ241" s="10"/>
      <c r="BA241" s="8"/>
      <c r="BB241" s="10"/>
      <c r="BC241" s="10"/>
      <c r="BD241" s="10"/>
      <c r="BE241" s="10"/>
      <c r="BF241" s="10"/>
      <c r="BG241" s="10"/>
      <c r="BH241" s="30"/>
      <c r="BI241" s="10"/>
      <c r="BJ241" s="338"/>
      <c r="BK241" s="338"/>
      <c r="BL241" s="303"/>
      <c r="BM241" s="5"/>
      <c r="BN241" s="10"/>
      <c r="BO241" s="8"/>
      <c r="BP241" s="5"/>
      <c r="BQ241" s="10"/>
      <c r="BR241" s="29">
        <v>1996</v>
      </c>
      <c r="BS241" s="64">
        <v>1995</v>
      </c>
      <c r="BT241" s="14">
        <v>18</v>
      </c>
      <c r="BU241" s="10"/>
      <c r="BV241" s="8">
        <v>0</v>
      </c>
      <c r="BW241" s="10">
        <v>0</v>
      </c>
      <c r="BX241" s="10"/>
      <c r="BY241" s="10"/>
      <c r="BZ241" s="10"/>
      <c r="CA241" s="10"/>
      <c r="CB241" s="10"/>
      <c r="CC241" s="221"/>
      <c r="CD241" s="10">
        <v>4</v>
      </c>
      <c r="CE241" s="317"/>
      <c r="CF241" s="10">
        <v>0</v>
      </c>
      <c r="CG241" s="10">
        <v>0</v>
      </c>
      <c r="CH241" s="10"/>
      <c r="CI241" s="10">
        <v>5</v>
      </c>
      <c r="CJ241" s="10">
        <v>3</v>
      </c>
      <c r="CK241" s="10"/>
      <c r="CL241" s="10"/>
      <c r="CM241" s="10">
        <v>0</v>
      </c>
      <c r="CN241" s="10"/>
      <c r="CO241" s="10">
        <v>1</v>
      </c>
      <c r="CP241" s="317"/>
      <c r="CQ241" s="10"/>
      <c r="CR241" s="10"/>
      <c r="CS241" s="10">
        <v>0</v>
      </c>
      <c r="CT241" s="10">
        <v>7</v>
      </c>
      <c r="CU241" s="10">
        <v>0</v>
      </c>
      <c r="CV241" s="10">
        <v>0</v>
      </c>
      <c r="CW241" s="10"/>
      <c r="CX241" s="10"/>
      <c r="CY241" s="59">
        <v>0</v>
      </c>
      <c r="CZ241" s="59"/>
      <c r="DA241" s="59"/>
      <c r="DB241" s="10">
        <v>1</v>
      </c>
      <c r="DC241" s="10"/>
      <c r="DD241" s="10"/>
      <c r="DE241" s="10"/>
      <c r="DF241" s="10"/>
      <c r="DG241" s="10">
        <v>0</v>
      </c>
      <c r="DH241" s="10">
        <v>0</v>
      </c>
      <c r="DI241" s="10">
        <v>4</v>
      </c>
      <c r="DJ241" s="59">
        <v>0</v>
      </c>
      <c r="DK241" s="59"/>
      <c r="DL241" s="59"/>
      <c r="DM241" s="10">
        <v>4</v>
      </c>
      <c r="DN241" s="10"/>
      <c r="DO241" s="10">
        <v>0</v>
      </c>
      <c r="DP241" s="10"/>
      <c r="DQ241" s="10"/>
      <c r="DR241" s="10"/>
      <c r="DS241" s="59">
        <v>0</v>
      </c>
      <c r="DT241" s="10">
        <v>4</v>
      </c>
      <c r="DU241" s="10">
        <v>0</v>
      </c>
      <c r="DV241" s="38">
        <f t="shared" si="115"/>
        <v>33</v>
      </c>
      <c r="DW241" s="14" t="str">
        <f t="shared" si="116"/>
        <v/>
      </c>
    </row>
    <row r="242" spans="1:127" customFormat="1">
      <c r="A242" s="210">
        <v>34973</v>
      </c>
      <c r="B242" s="211"/>
      <c r="C242" s="8">
        <v>2</v>
      </c>
      <c r="D242" s="10">
        <v>30</v>
      </c>
      <c r="E242" s="10">
        <v>0</v>
      </c>
      <c r="F242" s="10">
        <v>0</v>
      </c>
      <c r="G242" s="10">
        <v>1</v>
      </c>
      <c r="H242" s="10">
        <v>4</v>
      </c>
      <c r="I242" s="10">
        <v>0</v>
      </c>
      <c r="J242" s="10">
        <v>1</v>
      </c>
      <c r="K242" s="59">
        <v>0</v>
      </c>
      <c r="L242" s="59">
        <v>0</v>
      </c>
      <c r="M242" s="59"/>
      <c r="N242" s="59"/>
      <c r="O242" s="10">
        <v>20</v>
      </c>
      <c r="P242" s="10">
        <v>0</v>
      </c>
      <c r="Q242" s="10">
        <v>0</v>
      </c>
      <c r="R242" s="10">
        <v>0</v>
      </c>
      <c r="S242" s="35">
        <f t="shared" si="113"/>
        <v>58</v>
      </c>
      <c r="T242" s="10">
        <v>1</v>
      </c>
      <c r="U242" s="10"/>
      <c r="V242" s="10"/>
      <c r="W242" s="10">
        <v>1</v>
      </c>
      <c r="X242" s="5">
        <v>0</v>
      </c>
      <c r="Y242" s="10"/>
      <c r="Z242" s="8">
        <v>1052887</v>
      </c>
      <c r="AA242" s="10">
        <v>1622532</v>
      </c>
      <c r="AB242" s="10"/>
      <c r="AC242" s="61">
        <v>1660340</v>
      </c>
      <c r="AD242" s="59">
        <v>1265624</v>
      </c>
      <c r="AE242" s="35">
        <f t="shared" si="114"/>
        <v>2925964</v>
      </c>
      <c r="AF242" s="10"/>
      <c r="AG242" s="8">
        <v>142</v>
      </c>
      <c r="AH242" s="10">
        <v>1</v>
      </c>
      <c r="AI242" s="10">
        <v>154</v>
      </c>
      <c r="AJ242" s="5">
        <v>32</v>
      </c>
      <c r="AK242" s="10"/>
      <c r="AL242" s="8"/>
      <c r="AM242" s="10"/>
      <c r="AN242" s="35"/>
      <c r="AO242" s="10"/>
      <c r="AP242" s="10"/>
      <c r="AQ242" s="35"/>
      <c r="AR242" s="59"/>
      <c r="AS242" s="59"/>
      <c r="AT242" s="59"/>
      <c r="AU242" s="59"/>
      <c r="AV242" s="62"/>
      <c r="AW242" s="10"/>
      <c r="AX242" s="326"/>
      <c r="AY242" s="5"/>
      <c r="AZ242" s="10"/>
      <c r="BA242" s="8">
        <v>1606</v>
      </c>
      <c r="BB242" s="10"/>
      <c r="BC242" s="10">
        <v>18952192</v>
      </c>
      <c r="BD242" s="10"/>
      <c r="BE242" s="10">
        <v>45</v>
      </c>
      <c r="BF242" s="10">
        <v>1</v>
      </c>
      <c r="BG242" s="10">
        <v>1</v>
      </c>
      <c r="BH242" s="30"/>
      <c r="BI242" s="10"/>
      <c r="BJ242" s="338"/>
      <c r="BK242" s="338"/>
      <c r="BL242" s="303"/>
      <c r="BM242" s="5"/>
      <c r="BN242" s="10"/>
      <c r="BO242" s="8"/>
      <c r="BP242" s="5"/>
      <c r="BQ242" s="10"/>
      <c r="BR242" s="29">
        <v>1996</v>
      </c>
      <c r="BS242" s="64">
        <v>1995</v>
      </c>
      <c r="BT242" s="14">
        <v>19</v>
      </c>
      <c r="BU242" s="10"/>
      <c r="BV242" s="8">
        <v>0</v>
      </c>
      <c r="BW242" s="10">
        <v>19</v>
      </c>
      <c r="BX242" s="10"/>
      <c r="BY242" s="10"/>
      <c r="BZ242" s="10"/>
      <c r="CA242" s="10"/>
      <c r="CB242" s="10"/>
      <c r="CC242" s="221"/>
      <c r="CD242" s="10">
        <v>2</v>
      </c>
      <c r="CE242" s="317"/>
      <c r="CF242" s="10">
        <v>0</v>
      </c>
      <c r="CG242" s="10">
        <v>0</v>
      </c>
      <c r="CH242" s="10"/>
      <c r="CI242" s="10">
        <v>0</v>
      </c>
      <c r="CJ242" s="10">
        <v>25</v>
      </c>
      <c r="CK242" s="10"/>
      <c r="CL242" s="10"/>
      <c r="CM242" s="10">
        <v>0</v>
      </c>
      <c r="CN242" s="10"/>
      <c r="CO242" s="10">
        <v>0</v>
      </c>
      <c r="CP242" s="317"/>
      <c r="CQ242" s="10"/>
      <c r="CR242" s="10"/>
      <c r="CS242" s="10">
        <v>0</v>
      </c>
      <c r="CT242" s="10">
        <v>7</v>
      </c>
      <c r="CU242" s="10">
        <v>3</v>
      </c>
      <c r="CV242" s="10">
        <v>0</v>
      </c>
      <c r="CW242" s="10"/>
      <c r="CX242" s="10"/>
      <c r="CY242" s="59">
        <v>0</v>
      </c>
      <c r="CZ242" s="59"/>
      <c r="DA242" s="59"/>
      <c r="DB242" s="10">
        <v>0</v>
      </c>
      <c r="DC242" s="10"/>
      <c r="DD242" s="10"/>
      <c r="DE242" s="10"/>
      <c r="DF242" s="10"/>
      <c r="DG242" s="10">
        <v>1</v>
      </c>
      <c r="DH242" s="10">
        <v>0</v>
      </c>
      <c r="DI242" s="10">
        <v>0</v>
      </c>
      <c r="DJ242" s="59">
        <v>0</v>
      </c>
      <c r="DK242" s="59"/>
      <c r="DL242" s="59"/>
      <c r="DM242" s="10">
        <v>0</v>
      </c>
      <c r="DN242" s="10"/>
      <c r="DO242" s="10">
        <v>1</v>
      </c>
      <c r="DP242" s="10"/>
      <c r="DQ242" s="10"/>
      <c r="DR242" s="10"/>
      <c r="DS242" s="59">
        <v>0</v>
      </c>
      <c r="DT242" s="10">
        <v>0</v>
      </c>
      <c r="DU242" s="10">
        <v>0</v>
      </c>
      <c r="DV242" s="38">
        <f t="shared" si="115"/>
        <v>58</v>
      </c>
      <c r="DW242" s="14" t="str">
        <f t="shared" si="116"/>
        <v/>
      </c>
    </row>
    <row r="243" spans="1:127" customFormat="1">
      <c r="A243" s="210">
        <v>34987</v>
      </c>
      <c r="B243" s="211"/>
      <c r="C243" s="8">
        <v>6</v>
      </c>
      <c r="D243" s="10">
        <v>17</v>
      </c>
      <c r="E243" s="10">
        <v>1</v>
      </c>
      <c r="F243" s="10">
        <v>0</v>
      </c>
      <c r="G243" s="10">
        <v>1</v>
      </c>
      <c r="H243" s="10">
        <v>1</v>
      </c>
      <c r="I243" s="10">
        <v>0</v>
      </c>
      <c r="J243" s="10">
        <v>0</v>
      </c>
      <c r="K243" s="59">
        <v>0</v>
      </c>
      <c r="L243" s="59">
        <v>0</v>
      </c>
      <c r="M243" s="59"/>
      <c r="N243" s="59"/>
      <c r="O243" s="10">
        <v>14</v>
      </c>
      <c r="P243" s="10">
        <v>0</v>
      </c>
      <c r="Q243" s="10">
        <v>0</v>
      </c>
      <c r="R243" s="10">
        <v>0</v>
      </c>
      <c r="S243" s="35">
        <f t="shared" si="113"/>
        <v>40</v>
      </c>
      <c r="T243" s="10">
        <v>0</v>
      </c>
      <c r="U243" s="10"/>
      <c r="V243" s="10"/>
      <c r="W243" s="10">
        <v>0</v>
      </c>
      <c r="X243" s="5">
        <v>0</v>
      </c>
      <c r="Y243" s="10"/>
      <c r="Z243" s="8">
        <v>1164874</v>
      </c>
      <c r="AA243" s="10">
        <v>1034488</v>
      </c>
      <c r="AB243" s="10"/>
      <c r="AC243" s="61">
        <v>1034488</v>
      </c>
      <c r="AD243" s="59">
        <v>943062</v>
      </c>
      <c r="AE243" s="35">
        <f t="shared" si="114"/>
        <v>1977550</v>
      </c>
      <c r="AF243" s="10"/>
      <c r="AG243" s="8">
        <v>97</v>
      </c>
      <c r="AH243" s="10">
        <v>25</v>
      </c>
      <c r="AI243" s="10">
        <v>144</v>
      </c>
      <c r="AJ243" s="5">
        <v>28</v>
      </c>
      <c r="AK243" s="10"/>
      <c r="AL243" s="8"/>
      <c r="AM243" s="10"/>
      <c r="AN243" s="35"/>
      <c r="AO243" s="10"/>
      <c r="AP243" s="10"/>
      <c r="AQ243" s="35"/>
      <c r="AR243" s="59"/>
      <c r="AS243" s="59"/>
      <c r="AT243" s="59"/>
      <c r="AU243" s="59"/>
      <c r="AV243" s="62"/>
      <c r="AW243" s="10"/>
      <c r="AX243" s="326"/>
      <c r="AY243" s="5"/>
      <c r="AZ243" s="10"/>
      <c r="BA243" s="8"/>
      <c r="BB243" s="10"/>
      <c r="BC243" s="10"/>
      <c r="BD243" s="10"/>
      <c r="BE243" s="10"/>
      <c r="BF243" s="10"/>
      <c r="BG243" s="10"/>
      <c r="BH243" s="30"/>
      <c r="BI243" s="10"/>
      <c r="BJ243" s="338"/>
      <c r="BK243" s="338"/>
      <c r="BL243" s="303"/>
      <c r="BM243" s="5"/>
      <c r="BN243" s="10"/>
      <c r="BO243" s="8"/>
      <c r="BP243" s="5"/>
      <c r="BQ243" s="10"/>
      <c r="BR243" s="29">
        <v>1996</v>
      </c>
      <c r="BS243" s="64">
        <v>1995</v>
      </c>
      <c r="BT243" s="14">
        <v>20</v>
      </c>
      <c r="BU243" s="10"/>
      <c r="BV243" s="8">
        <v>0</v>
      </c>
      <c r="BW243" s="10">
        <v>12</v>
      </c>
      <c r="BX243" s="10"/>
      <c r="BY243" s="10"/>
      <c r="BZ243" s="10"/>
      <c r="CA243" s="10"/>
      <c r="CB243" s="10"/>
      <c r="CC243" s="221"/>
      <c r="CD243" s="10">
        <v>5</v>
      </c>
      <c r="CE243" s="317"/>
      <c r="CF243" s="10">
        <v>0</v>
      </c>
      <c r="CG243" s="10">
        <v>0</v>
      </c>
      <c r="CH243" s="10"/>
      <c r="CI243" s="10">
        <v>0</v>
      </c>
      <c r="CJ243" s="10">
        <v>1</v>
      </c>
      <c r="CK243" s="10"/>
      <c r="CL243" s="10"/>
      <c r="CM243" s="10">
        <v>0</v>
      </c>
      <c r="CN243" s="10"/>
      <c r="CO243" s="10">
        <v>2</v>
      </c>
      <c r="CP243" s="317"/>
      <c r="CQ243" s="10"/>
      <c r="CR243" s="10"/>
      <c r="CS243" s="10">
        <v>0</v>
      </c>
      <c r="CT243" s="10">
        <v>4</v>
      </c>
      <c r="CU243" s="10">
        <v>2</v>
      </c>
      <c r="CV243" s="10">
        <v>0</v>
      </c>
      <c r="CW243" s="10"/>
      <c r="CX243" s="10"/>
      <c r="CY243" s="59">
        <v>0</v>
      </c>
      <c r="CZ243" s="59"/>
      <c r="DA243" s="59"/>
      <c r="DB243" s="10">
        <v>8</v>
      </c>
      <c r="DC243" s="10"/>
      <c r="DD243" s="10"/>
      <c r="DE243" s="10"/>
      <c r="DF243" s="10"/>
      <c r="DG243" s="10">
        <v>1</v>
      </c>
      <c r="DH243" s="10">
        <v>0</v>
      </c>
      <c r="DI243" s="10">
        <v>0</v>
      </c>
      <c r="DJ243" s="59">
        <v>0</v>
      </c>
      <c r="DK243" s="59"/>
      <c r="DL243" s="59"/>
      <c r="DM243" s="10">
        <v>2</v>
      </c>
      <c r="DN243" s="10"/>
      <c r="DO243" s="10">
        <v>3</v>
      </c>
      <c r="DP243" s="10"/>
      <c r="DQ243" s="10"/>
      <c r="DR243" s="10"/>
      <c r="DS243" s="59">
        <v>0</v>
      </c>
      <c r="DT243" s="10">
        <v>0</v>
      </c>
      <c r="DU243" s="10">
        <v>0</v>
      </c>
      <c r="DV243" s="38">
        <f t="shared" si="115"/>
        <v>40</v>
      </c>
      <c r="DW243" s="14" t="str">
        <f t="shared" si="116"/>
        <v/>
      </c>
    </row>
    <row r="244" spans="1:127" customFormat="1">
      <c r="A244" s="210">
        <v>35004</v>
      </c>
      <c r="B244" s="211"/>
      <c r="C244" s="8">
        <v>0</v>
      </c>
      <c r="D244" s="10">
        <v>12</v>
      </c>
      <c r="E244" s="10">
        <v>1</v>
      </c>
      <c r="F244" s="10">
        <v>0</v>
      </c>
      <c r="G244" s="10">
        <v>1</v>
      </c>
      <c r="H244" s="10">
        <v>0</v>
      </c>
      <c r="I244" s="10">
        <v>0</v>
      </c>
      <c r="J244" s="10">
        <v>7</v>
      </c>
      <c r="K244" s="59">
        <v>0</v>
      </c>
      <c r="L244" s="59">
        <v>0</v>
      </c>
      <c r="M244" s="59"/>
      <c r="N244" s="59"/>
      <c r="O244" s="10">
        <v>9</v>
      </c>
      <c r="P244" s="10">
        <v>0</v>
      </c>
      <c r="Q244" s="10">
        <v>0</v>
      </c>
      <c r="R244" s="10">
        <v>0</v>
      </c>
      <c r="S244" s="35">
        <f t="shared" si="113"/>
        <v>30</v>
      </c>
      <c r="T244" s="10">
        <v>1</v>
      </c>
      <c r="U244" s="10"/>
      <c r="V244" s="10"/>
      <c r="W244" s="10">
        <v>1</v>
      </c>
      <c r="X244" s="5">
        <v>0</v>
      </c>
      <c r="Y244" s="10"/>
      <c r="Z244" s="8">
        <v>1797512</v>
      </c>
      <c r="AA244" s="10">
        <v>837415</v>
      </c>
      <c r="AB244" s="10"/>
      <c r="AC244" s="61">
        <v>746636</v>
      </c>
      <c r="AD244" s="59">
        <v>840818</v>
      </c>
      <c r="AE244" s="35">
        <f t="shared" si="114"/>
        <v>1587454</v>
      </c>
      <c r="AF244" s="10"/>
      <c r="AG244" s="8">
        <v>68</v>
      </c>
      <c r="AH244" s="10">
        <v>83</v>
      </c>
      <c r="AI244" s="10">
        <v>166</v>
      </c>
      <c r="AJ244" s="5">
        <v>24</v>
      </c>
      <c r="AK244" s="10"/>
      <c r="AL244" s="8"/>
      <c r="AM244" s="10"/>
      <c r="AN244" s="35"/>
      <c r="AO244" s="10"/>
      <c r="AP244" s="10"/>
      <c r="AQ244" s="35"/>
      <c r="AR244" s="59"/>
      <c r="AS244" s="59"/>
      <c r="AT244" s="59"/>
      <c r="AU244" s="59"/>
      <c r="AV244" s="62"/>
      <c r="AW244" s="10"/>
      <c r="AX244" s="326"/>
      <c r="AY244" s="5"/>
      <c r="AZ244" s="10"/>
      <c r="BA244" s="8">
        <v>1611</v>
      </c>
      <c r="BB244" s="10"/>
      <c r="BC244" s="10">
        <v>19019776</v>
      </c>
      <c r="BD244" s="10"/>
      <c r="BE244" s="10">
        <v>56</v>
      </c>
      <c r="BF244" s="10">
        <v>6</v>
      </c>
      <c r="BG244" s="10">
        <v>1</v>
      </c>
      <c r="BH244" s="30"/>
      <c r="BI244" s="10"/>
      <c r="BJ244" s="338"/>
      <c r="BK244" s="338"/>
      <c r="BL244" s="303"/>
      <c r="BM244" s="5"/>
      <c r="BN244" s="10"/>
      <c r="BO244" s="8"/>
      <c r="BP244" s="5"/>
      <c r="BQ244" s="10"/>
      <c r="BR244" s="29">
        <v>1996</v>
      </c>
      <c r="BS244" s="64">
        <v>1995</v>
      </c>
      <c r="BT244" s="14">
        <v>21</v>
      </c>
      <c r="BU244" s="10"/>
      <c r="BV244" s="8">
        <v>3</v>
      </c>
      <c r="BW244" s="10">
        <v>3</v>
      </c>
      <c r="BX244" s="10"/>
      <c r="BY244" s="10"/>
      <c r="BZ244" s="10"/>
      <c r="CA244" s="10"/>
      <c r="CB244" s="10"/>
      <c r="CC244" s="221"/>
      <c r="CD244" s="10">
        <v>5</v>
      </c>
      <c r="CE244" s="317"/>
      <c r="CF244" s="10">
        <v>0</v>
      </c>
      <c r="CG244" s="10">
        <v>0</v>
      </c>
      <c r="CH244" s="10"/>
      <c r="CI244" s="10">
        <v>0</v>
      </c>
      <c r="CJ244" s="10">
        <v>6</v>
      </c>
      <c r="CK244" s="10"/>
      <c r="CL244" s="10"/>
      <c r="CM244" s="10">
        <v>0</v>
      </c>
      <c r="CN244" s="10"/>
      <c r="CO244" s="10">
        <v>0</v>
      </c>
      <c r="CP244" s="317"/>
      <c r="CQ244" s="10"/>
      <c r="CR244" s="10"/>
      <c r="CS244" s="10">
        <v>0</v>
      </c>
      <c r="CT244" s="10">
        <v>3</v>
      </c>
      <c r="CU244" s="10">
        <v>0</v>
      </c>
      <c r="CV244" s="10">
        <v>1</v>
      </c>
      <c r="CW244" s="10"/>
      <c r="CX244" s="10"/>
      <c r="CY244" s="59">
        <v>0</v>
      </c>
      <c r="CZ244" s="59"/>
      <c r="DA244" s="59"/>
      <c r="DB244" s="10">
        <v>3</v>
      </c>
      <c r="DC244" s="10"/>
      <c r="DD244" s="10"/>
      <c r="DE244" s="10"/>
      <c r="DF244" s="10"/>
      <c r="DG244" s="10">
        <v>2</v>
      </c>
      <c r="DH244" s="10">
        <v>1</v>
      </c>
      <c r="DI244" s="10">
        <v>0</v>
      </c>
      <c r="DJ244" s="59">
        <v>0</v>
      </c>
      <c r="DK244" s="59"/>
      <c r="DL244" s="59"/>
      <c r="DM244" s="10">
        <v>1</v>
      </c>
      <c r="DN244" s="10"/>
      <c r="DO244" s="10">
        <v>1</v>
      </c>
      <c r="DP244" s="10"/>
      <c r="DQ244" s="10"/>
      <c r="DR244" s="10"/>
      <c r="DS244" s="59">
        <v>0</v>
      </c>
      <c r="DT244" s="10">
        <v>1</v>
      </c>
      <c r="DU244" s="10">
        <v>0</v>
      </c>
      <c r="DV244" s="38">
        <f t="shared" si="115"/>
        <v>30</v>
      </c>
      <c r="DW244" s="14" t="str">
        <f t="shared" si="116"/>
        <v/>
      </c>
    </row>
    <row r="245" spans="1:127" customFormat="1">
      <c r="A245" s="210">
        <v>35018</v>
      </c>
      <c r="B245" s="211"/>
      <c r="C245" s="8">
        <v>3</v>
      </c>
      <c r="D245" s="10">
        <v>12</v>
      </c>
      <c r="E245" s="10">
        <v>0</v>
      </c>
      <c r="F245" s="10">
        <v>0</v>
      </c>
      <c r="G245" s="10">
        <v>0</v>
      </c>
      <c r="H245" s="10">
        <v>1</v>
      </c>
      <c r="I245" s="10">
        <v>0</v>
      </c>
      <c r="J245" s="10">
        <v>13</v>
      </c>
      <c r="K245" s="59">
        <v>0</v>
      </c>
      <c r="L245" s="59">
        <v>0</v>
      </c>
      <c r="M245" s="59"/>
      <c r="N245" s="59"/>
      <c r="O245" s="10">
        <v>16</v>
      </c>
      <c r="P245" s="10">
        <v>0</v>
      </c>
      <c r="Q245" s="10">
        <v>0</v>
      </c>
      <c r="R245" s="10">
        <v>0</v>
      </c>
      <c r="S245" s="35">
        <f t="shared" si="113"/>
        <v>45</v>
      </c>
      <c r="T245" s="10">
        <v>6</v>
      </c>
      <c r="U245" s="10"/>
      <c r="V245" s="10"/>
      <c r="W245" s="10">
        <v>0</v>
      </c>
      <c r="X245" s="5">
        <v>0</v>
      </c>
      <c r="Y245" s="10"/>
      <c r="Z245" s="8">
        <v>1774410</v>
      </c>
      <c r="AA245" s="10">
        <v>883313</v>
      </c>
      <c r="AB245" s="10"/>
      <c r="AC245" s="61">
        <v>715533</v>
      </c>
      <c r="AD245" s="59">
        <v>869841</v>
      </c>
      <c r="AE245" s="35">
        <f t="shared" si="114"/>
        <v>1585374</v>
      </c>
      <c r="AF245" s="10"/>
      <c r="AG245" s="8">
        <v>59</v>
      </c>
      <c r="AH245" s="10">
        <v>87</v>
      </c>
      <c r="AI245" s="10">
        <v>158</v>
      </c>
      <c r="AJ245" s="5">
        <v>24</v>
      </c>
      <c r="AK245" s="10"/>
      <c r="AL245" s="8"/>
      <c r="AM245" s="10"/>
      <c r="AN245" s="35"/>
      <c r="AO245" s="10"/>
      <c r="AP245" s="10"/>
      <c r="AQ245" s="35"/>
      <c r="AR245" s="59"/>
      <c r="AS245" s="59"/>
      <c r="AT245" s="59"/>
      <c r="AU245" s="59"/>
      <c r="AV245" s="62"/>
      <c r="AW245" s="10"/>
      <c r="AX245" s="326"/>
      <c r="AY245" s="5"/>
      <c r="AZ245" s="10"/>
      <c r="BA245" s="8"/>
      <c r="BB245" s="10"/>
      <c r="BC245" s="10"/>
      <c r="BD245" s="10"/>
      <c r="BE245" s="10"/>
      <c r="BF245" s="10"/>
      <c r="BG245" s="10"/>
      <c r="BH245" s="30"/>
      <c r="BI245" s="10"/>
      <c r="BJ245" s="338"/>
      <c r="BK245" s="338"/>
      <c r="BL245" s="303"/>
      <c r="BM245" s="5"/>
      <c r="BN245" s="10"/>
      <c r="BO245" s="8"/>
      <c r="BP245" s="5"/>
      <c r="BQ245" s="10"/>
      <c r="BR245" s="29">
        <v>1996</v>
      </c>
      <c r="BS245" s="64">
        <v>1995</v>
      </c>
      <c r="BT245" s="14">
        <v>22</v>
      </c>
      <c r="BU245" s="10"/>
      <c r="BV245" s="8">
        <v>0</v>
      </c>
      <c r="BW245" s="10">
        <v>0</v>
      </c>
      <c r="BX245" s="10"/>
      <c r="BY245" s="10"/>
      <c r="BZ245" s="10"/>
      <c r="CA245" s="10"/>
      <c r="CB245" s="10"/>
      <c r="CC245" s="221"/>
      <c r="CD245" s="10">
        <v>3</v>
      </c>
      <c r="CE245" s="317"/>
      <c r="CF245" s="10">
        <v>0</v>
      </c>
      <c r="CG245" s="10">
        <v>0</v>
      </c>
      <c r="CH245" s="10"/>
      <c r="CI245" s="10">
        <v>3</v>
      </c>
      <c r="CJ245" s="10">
        <v>2</v>
      </c>
      <c r="CK245" s="10"/>
      <c r="CL245" s="10"/>
      <c r="CM245" s="10">
        <v>0</v>
      </c>
      <c r="CN245" s="10"/>
      <c r="CO245" s="10">
        <v>5</v>
      </c>
      <c r="CP245" s="317"/>
      <c r="CQ245" s="10"/>
      <c r="CR245" s="10"/>
      <c r="CS245" s="10">
        <v>0</v>
      </c>
      <c r="CT245" s="10">
        <v>5</v>
      </c>
      <c r="CU245" s="10">
        <v>5</v>
      </c>
      <c r="CV245" s="10">
        <v>3</v>
      </c>
      <c r="CW245" s="10"/>
      <c r="CX245" s="10"/>
      <c r="CY245" s="59">
        <v>0</v>
      </c>
      <c r="CZ245" s="59"/>
      <c r="DA245" s="59"/>
      <c r="DB245" s="10">
        <v>2</v>
      </c>
      <c r="DC245" s="10"/>
      <c r="DD245" s="10"/>
      <c r="DE245" s="10"/>
      <c r="DF245" s="10"/>
      <c r="DG245" s="10">
        <v>0</v>
      </c>
      <c r="DH245" s="10">
        <v>2</v>
      </c>
      <c r="DI245" s="10">
        <v>0</v>
      </c>
      <c r="DJ245" s="59">
        <v>0</v>
      </c>
      <c r="DK245" s="59"/>
      <c r="DL245" s="59"/>
      <c r="DM245" s="10">
        <v>3</v>
      </c>
      <c r="DN245" s="10"/>
      <c r="DO245" s="10">
        <v>1</v>
      </c>
      <c r="DP245" s="10"/>
      <c r="DQ245" s="10"/>
      <c r="DR245" s="10"/>
      <c r="DS245" s="59">
        <v>0</v>
      </c>
      <c r="DT245" s="10">
        <v>11</v>
      </c>
      <c r="DU245" s="10">
        <v>0</v>
      </c>
      <c r="DV245" s="38">
        <f t="shared" si="115"/>
        <v>45</v>
      </c>
      <c r="DW245" s="14" t="str">
        <f t="shared" si="116"/>
        <v/>
      </c>
    </row>
    <row r="246" spans="1:127" customFormat="1">
      <c r="A246" s="210">
        <v>35034</v>
      </c>
      <c r="B246" s="211"/>
      <c r="C246" s="8">
        <v>4</v>
      </c>
      <c r="D246" s="10">
        <v>15</v>
      </c>
      <c r="E246" s="10">
        <v>1</v>
      </c>
      <c r="F246" s="10">
        <v>0</v>
      </c>
      <c r="G246" s="10">
        <v>2</v>
      </c>
      <c r="H246" s="10">
        <v>0</v>
      </c>
      <c r="I246" s="10">
        <v>0</v>
      </c>
      <c r="J246" s="10">
        <v>4</v>
      </c>
      <c r="K246" s="59">
        <v>0</v>
      </c>
      <c r="L246" s="59">
        <v>0</v>
      </c>
      <c r="M246" s="59"/>
      <c r="N246" s="59"/>
      <c r="O246" s="10">
        <v>18</v>
      </c>
      <c r="P246" s="10">
        <v>1</v>
      </c>
      <c r="Q246" s="10">
        <v>0</v>
      </c>
      <c r="R246" s="10">
        <v>0</v>
      </c>
      <c r="S246" s="35">
        <f t="shared" si="113"/>
        <v>45</v>
      </c>
      <c r="T246" s="10">
        <v>22</v>
      </c>
      <c r="U246" s="10"/>
      <c r="V246" s="10"/>
      <c r="W246" s="10">
        <v>0</v>
      </c>
      <c r="X246" s="5">
        <v>0</v>
      </c>
      <c r="Y246" s="10"/>
      <c r="Z246" s="8">
        <v>1766971</v>
      </c>
      <c r="AA246" s="10">
        <v>689152</v>
      </c>
      <c r="AB246" s="10"/>
      <c r="AC246" s="61">
        <v>730152</v>
      </c>
      <c r="AD246" s="59">
        <v>1290124</v>
      </c>
      <c r="AE246" s="35">
        <f t="shared" si="114"/>
        <v>2020276</v>
      </c>
      <c r="AF246" s="10"/>
      <c r="AG246" s="8">
        <v>52</v>
      </c>
      <c r="AH246" s="10">
        <v>89</v>
      </c>
      <c r="AI246" s="10">
        <v>152</v>
      </c>
      <c r="AJ246" s="5">
        <v>24</v>
      </c>
      <c r="AK246" s="10"/>
      <c r="AL246" s="8"/>
      <c r="AM246" s="10"/>
      <c r="AN246" s="35"/>
      <c r="AO246" s="10"/>
      <c r="AP246" s="10"/>
      <c r="AQ246" s="35"/>
      <c r="AR246" s="59"/>
      <c r="AS246" s="59"/>
      <c r="AT246" s="59"/>
      <c r="AU246" s="59"/>
      <c r="AV246" s="62"/>
      <c r="AW246" s="10"/>
      <c r="AX246" s="326"/>
      <c r="AY246" s="5"/>
      <c r="AZ246" s="10"/>
      <c r="BA246" s="8">
        <v>1615</v>
      </c>
      <c r="BB246" s="10"/>
      <c r="BC246" s="10">
        <v>19064832</v>
      </c>
      <c r="BD246" s="10"/>
      <c r="BE246" s="10">
        <v>73</v>
      </c>
      <c r="BF246" s="10">
        <v>5</v>
      </c>
      <c r="BG246" s="10">
        <v>1</v>
      </c>
      <c r="BH246" s="30"/>
      <c r="BI246" s="10"/>
      <c r="BJ246" s="338"/>
      <c r="BK246" s="338"/>
      <c r="BL246" s="303"/>
      <c r="BM246" s="5"/>
      <c r="BN246" s="10"/>
      <c r="BO246" s="8"/>
      <c r="BP246" s="5"/>
      <c r="BQ246" s="10"/>
      <c r="BR246" s="29">
        <v>1996</v>
      </c>
      <c r="BS246" s="64">
        <v>1995</v>
      </c>
      <c r="BT246" s="14">
        <v>23</v>
      </c>
      <c r="BU246" s="10"/>
      <c r="BV246" s="8">
        <v>1</v>
      </c>
      <c r="BW246" s="10">
        <v>0</v>
      </c>
      <c r="BX246" s="10"/>
      <c r="BY246" s="10"/>
      <c r="BZ246" s="10"/>
      <c r="CA246" s="10"/>
      <c r="CB246" s="10"/>
      <c r="CC246" s="221"/>
      <c r="CD246" s="10">
        <v>4</v>
      </c>
      <c r="CE246" s="317"/>
      <c r="CF246" s="10">
        <v>1</v>
      </c>
      <c r="CG246" s="10">
        <v>0</v>
      </c>
      <c r="CH246" s="10"/>
      <c r="CI246" s="10">
        <v>1</v>
      </c>
      <c r="CJ246" s="10">
        <v>3</v>
      </c>
      <c r="CK246" s="10"/>
      <c r="CL246" s="10"/>
      <c r="CM246" s="10">
        <v>0</v>
      </c>
      <c r="CN246" s="10"/>
      <c r="CO246" s="10">
        <v>0</v>
      </c>
      <c r="CP246" s="317"/>
      <c r="CQ246" s="10"/>
      <c r="CR246" s="10"/>
      <c r="CS246" s="10">
        <v>3</v>
      </c>
      <c r="CT246" s="10">
        <v>18</v>
      </c>
      <c r="CU246" s="10">
        <v>1</v>
      </c>
      <c r="CV246" s="10">
        <v>3</v>
      </c>
      <c r="CW246" s="10"/>
      <c r="CX246" s="10"/>
      <c r="CY246" s="59">
        <v>0</v>
      </c>
      <c r="CZ246" s="59"/>
      <c r="DA246" s="59"/>
      <c r="DB246" s="10">
        <v>7</v>
      </c>
      <c r="DC246" s="10"/>
      <c r="DD246" s="10"/>
      <c r="DE246" s="10"/>
      <c r="DF246" s="10"/>
      <c r="DG246" s="10">
        <v>1</v>
      </c>
      <c r="DH246" s="10">
        <v>0</v>
      </c>
      <c r="DI246" s="10">
        <v>0</v>
      </c>
      <c r="DJ246" s="59">
        <v>0</v>
      </c>
      <c r="DK246" s="59"/>
      <c r="DL246" s="59"/>
      <c r="DM246" s="10">
        <v>1</v>
      </c>
      <c r="DN246" s="10"/>
      <c r="DO246" s="10">
        <v>0</v>
      </c>
      <c r="DP246" s="10"/>
      <c r="DQ246" s="10"/>
      <c r="DR246" s="10"/>
      <c r="DS246" s="59">
        <v>0</v>
      </c>
      <c r="DT246" s="10">
        <v>1</v>
      </c>
      <c r="DU246" s="10">
        <v>0</v>
      </c>
      <c r="DV246" s="38">
        <f t="shared" si="115"/>
        <v>45</v>
      </c>
      <c r="DW246" s="14" t="str">
        <f t="shared" si="116"/>
        <v/>
      </c>
    </row>
    <row r="247" spans="1:127" customFormat="1">
      <c r="A247" s="210">
        <v>35048</v>
      </c>
      <c r="B247" s="211"/>
      <c r="C247" s="8">
        <v>2</v>
      </c>
      <c r="D247" s="10">
        <v>20</v>
      </c>
      <c r="E247" s="10">
        <v>1</v>
      </c>
      <c r="F247" s="10">
        <v>1</v>
      </c>
      <c r="G247" s="10">
        <v>3</v>
      </c>
      <c r="H247" s="10">
        <v>3</v>
      </c>
      <c r="I247" s="10">
        <v>0</v>
      </c>
      <c r="J247" s="10">
        <v>2</v>
      </c>
      <c r="K247" s="59">
        <v>0</v>
      </c>
      <c r="L247" s="59">
        <v>0</v>
      </c>
      <c r="M247" s="59"/>
      <c r="N247" s="59"/>
      <c r="O247" s="10">
        <v>4</v>
      </c>
      <c r="P247" s="10">
        <v>0</v>
      </c>
      <c r="Q247" s="10">
        <v>0</v>
      </c>
      <c r="R247" s="10">
        <v>0</v>
      </c>
      <c r="S247" s="35">
        <f t="shared" si="113"/>
        <v>36</v>
      </c>
      <c r="T247" s="10">
        <v>3</v>
      </c>
      <c r="U247" s="10"/>
      <c r="V247" s="10"/>
      <c r="W247" s="10">
        <v>1</v>
      </c>
      <c r="X247" s="5">
        <v>0</v>
      </c>
      <c r="Y247" s="10"/>
      <c r="Z247" s="8">
        <v>1892348</v>
      </c>
      <c r="AA247" s="10">
        <v>635059</v>
      </c>
      <c r="AB247" s="10"/>
      <c r="AC247" s="61">
        <v>610286</v>
      </c>
      <c r="AD247" s="59">
        <v>848006</v>
      </c>
      <c r="AE247" s="35">
        <f t="shared" si="114"/>
        <v>1458292</v>
      </c>
      <c r="AF247" s="10"/>
      <c r="AG247" s="8">
        <v>68</v>
      </c>
      <c r="AH247" s="10">
        <v>91</v>
      </c>
      <c r="AI247" s="10">
        <v>168</v>
      </c>
      <c r="AJ247" s="5">
        <v>28</v>
      </c>
      <c r="AK247" s="10"/>
      <c r="AL247" s="8"/>
      <c r="AM247" s="10"/>
      <c r="AN247" s="35"/>
      <c r="AO247" s="10"/>
      <c r="AP247" s="10"/>
      <c r="AQ247" s="35"/>
      <c r="AR247" s="59"/>
      <c r="AS247" s="59"/>
      <c r="AT247" s="59"/>
      <c r="AU247" s="59"/>
      <c r="AV247" s="62"/>
      <c r="AW247" s="10"/>
      <c r="AX247" s="326"/>
      <c r="AY247" s="5"/>
      <c r="AZ247" s="10"/>
      <c r="BA247" s="8"/>
      <c r="BB247" s="10"/>
      <c r="BC247" s="10"/>
      <c r="BD247" s="10"/>
      <c r="BE247" s="10"/>
      <c r="BF247" s="10"/>
      <c r="BG247" s="10"/>
      <c r="BH247" s="30"/>
      <c r="BI247" s="10"/>
      <c r="BJ247" s="338"/>
      <c r="BK247" s="338"/>
      <c r="BL247" s="303"/>
      <c r="BM247" s="5"/>
      <c r="BN247" s="10"/>
      <c r="BO247" s="8"/>
      <c r="BP247" s="5"/>
      <c r="BQ247" s="10"/>
      <c r="BR247" s="29">
        <v>1996</v>
      </c>
      <c r="BS247" s="64">
        <v>1995</v>
      </c>
      <c r="BT247" s="14">
        <v>24</v>
      </c>
      <c r="BU247" s="10"/>
      <c r="BV247" s="8">
        <v>0</v>
      </c>
      <c r="BW247" s="10">
        <v>2</v>
      </c>
      <c r="BX247" s="10"/>
      <c r="BY247" s="10"/>
      <c r="BZ247" s="10"/>
      <c r="CA247" s="10"/>
      <c r="CB247" s="10"/>
      <c r="CC247" s="221"/>
      <c r="CD247" s="10">
        <v>12</v>
      </c>
      <c r="CE247" s="317"/>
      <c r="CF247" s="10">
        <v>1</v>
      </c>
      <c r="CG247" s="10">
        <v>0</v>
      </c>
      <c r="CH247" s="10"/>
      <c r="CI247" s="10">
        <v>0</v>
      </c>
      <c r="CJ247" s="10">
        <v>0</v>
      </c>
      <c r="CK247" s="10"/>
      <c r="CL247" s="10"/>
      <c r="CM247" s="10">
        <v>0</v>
      </c>
      <c r="CN247" s="10"/>
      <c r="CO247" s="10">
        <v>3</v>
      </c>
      <c r="CP247" s="317"/>
      <c r="CQ247" s="10"/>
      <c r="CR247" s="10"/>
      <c r="CS247" s="10">
        <v>0</v>
      </c>
      <c r="CT247" s="10">
        <v>3</v>
      </c>
      <c r="CU247" s="10">
        <v>0</v>
      </c>
      <c r="CV247" s="10">
        <v>2</v>
      </c>
      <c r="CW247" s="10"/>
      <c r="CX247" s="10"/>
      <c r="CY247" s="59">
        <v>0</v>
      </c>
      <c r="CZ247" s="59"/>
      <c r="DA247" s="59"/>
      <c r="DB247" s="10">
        <v>4</v>
      </c>
      <c r="DC247" s="10"/>
      <c r="DD247" s="10"/>
      <c r="DE247" s="10"/>
      <c r="DF247" s="10"/>
      <c r="DG247" s="10">
        <v>3</v>
      </c>
      <c r="DH247" s="10">
        <v>0</v>
      </c>
      <c r="DI247" s="10">
        <v>0</v>
      </c>
      <c r="DJ247" s="59">
        <v>0</v>
      </c>
      <c r="DK247" s="59"/>
      <c r="DL247" s="59"/>
      <c r="DM247" s="10">
        <v>1</v>
      </c>
      <c r="DN247" s="10"/>
      <c r="DO247" s="10">
        <v>4</v>
      </c>
      <c r="DP247" s="10"/>
      <c r="DQ247" s="10"/>
      <c r="DR247" s="10"/>
      <c r="DS247" s="59">
        <v>0</v>
      </c>
      <c r="DT247" s="10">
        <v>1</v>
      </c>
      <c r="DU247" s="10">
        <v>0</v>
      </c>
      <c r="DV247" s="38">
        <f t="shared" si="115"/>
        <v>36</v>
      </c>
      <c r="DW247" s="14" t="str">
        <f t="shared" si="116"/>
        <v/>
      </c>
    </row>
    <row r="248" spans="1:127" customFormat="1">
      <c r="A248" s="210">
        <v>35065</v>
      </c>
      <c r="B248" s="211"/>
      <c r="C248" s="8">
        <v>2</v>
      </c>
      <c r="D248" s="10">
        <v>25</v>
      </c>
      <c r="E248" s="10">
        <v>1</v>
      </c>
      <c r="F248" s="10">
        <v>1</v>
      </c>
      <c r="G248" s="10">
        <v>9</v>
      </c>
      <c r="H248" s="10">
        <v>0</v>
      </c>
      <c r="I248" s="10">
        <v>0</v>
      </c>
      <c r="J248" s="10">
        <v>4</v>
      </c>
      <c r="K248" s="59">
        <v>0</v>
      </c>
      <c r="L248" s="59">
        <v>0</v>
      </c>
      <c r="M248" s="59"/>
      <c r="N248" s="59"/>
      <c r="O248" s="10">
        <v>12</v>
      </c>
      <c r="P248" s="10">
        <v>4</v>
      </c>
      <c r="Q248" s="10">
        <v>0</v>
      </c>
      <c r="R248" s="10">
        <v>0</v>
      </c>
      <c r="S248" s="35">
        <f t="shared" si="113"/>
        <v>58</v>
      </c>
      <c r="T248" s="10">
        <v>17</v>
      </c>
      <c r="U248" s="10"/>
      <c r="V248" s="10"/>
      <c r="W248" s="10">
        <v>2</v>
      </c>
      <c r="X248" s="5">
        <v>0</v>
      </c>
      <c r="Y248" s="10"/>
      <c r="Z248" s="8">
        <v>1398030</v>
      </c>
      <c r="AA248" s="10">
        <v>1019906</v>
      </c>
      <c r="AB248" s="10"/>
      <c r="AC248" s="61">
        <v>1027390</v>
      </c>
      <c r="AD248" s="59">
        <v>538525</v>
      </c>
      <c r="AE248" s="35">
        <f t="shared" si="114"/>
        <v>1565915</v>
      </c>
      <c r="AF248" s="10"/>
      <c r="AG248" s="8">
        <v>122</v>
      </c>
      <c r="AH248" s="10">
        <v>34</v>
      </c>
      <c r="AI248" s="10">
        <v>170</v>
      </c>
      <c r="AJ248" s="5">
        <v>36</v>
      </c>
      <c r="AK248" s="10"/>
      <c r="AL248" s="8"/>
      <c r="AM248" s="10"/>
      <c r="AN248" s="35"/>
      <c r="AO248" s="10"/>
      <c r="AP248" s="10"/>
      <c r="AQ248" s="35"/>
      <c r="AR248" s="59"/>
      <c r="AS248" s="59"/>
      <c r="AT248" s="59"/>
      <c r="AU248" s="59"/>
      <c r="AV248" s="62"/>
      <c r="AW248" s="10"/>
      <c r="AX248" s="326"/>
      <c r="AY248" s="5"/>
      <c r="AZ248" s="10"/>
      <c r="BA248" s="8">
        <v>1617</v>
      </c>
      <c r="BB248" s="10"/>
      <c r="BC248" s="10">
        <v>19073024</v>
      </c>
      <c r="BD248" s="10"/>
      <c r="BE248" s="10">
        <v>32</v>
      </c>
      <c r="BF248" s="10">
        <v>2</v>
      </c>
      <c r="BG248" s="10">
        <v>0</v>
      </c>
      <c r="BH248" s="30"/>
      <c r="BI248" s="10"/>
      <c r="BJ248" s="338"/>
      <c r="BK248" s="338"/>
      <c r="BL248" s="303"/>
      <c r="BM248" s="5"/>
      <c r="BN248" s="10"/>
      <c r="BO248" s="8"/>
      <c r="BP248" s="5"/>
      <c r="BQ248" s="10"/>
      <c r="BR248" s="29">
        <v>1996</v>
      </c>
      <c r="BS248" s="64">
        <v>1996</v>
      </c>
      <c r="BT248" s="14">
        <v>1</v>
      </c>
      <c r="BU248" s="10"/>
      <c r="BV248" s="8"/>
      <c r="BW248" s="10"/>
      <c r="BX248" s="10"/>
      <c r="BY248" s="10"/>
      <c r="BZ248" s="10"/>
      <c r="CA248" s="10"/>
      <c r="CB248" s="10"/>
      <c r="CC248" s="221"/>
      <c r="CD248" s="10"/>
      <c r="CE248" s="317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317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38">
        <f t="shared" si="115"/>
        <v>0</v>
      </c>
      <c r="DW248" s="14" t="str">
        <f t="shared" si="116"/>
        <v>PROB</v>
      </c>
    </row>
    <row r="249" spans="1:127" customFormat="1">
      <c r="A249" s="210">
        <v>35079</v>
      </c>
      <c r="B249" s="211"/>
      <c r="C249" s="8">
        <v>0</v>
      </c>
      <c r="D249" s="10">
        <v>10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5</v>
      </c>
      <c r="K249" s="59">
        <v>0</v>
      </c>
      <c r="L249" s="59">
        <v>0</v>
      </c>
      <c r="M249" s="59"/>
      <c r="N249" s="59"/>
      <c r="O249" s="10">
        <v>3</v>
      </c>
      <c r="P249" s="10">
        <v>0</v>
      </c>
      <c r="Q249" s="10">
        <v>0</v>
      </c>
      <c r="R249" s="10">
        <v>0</v>
      </c>
      <c r="S249" s="35">
        <f t="shared" si="113"/>
        <v>18</v>
      </c>
      <c r="T249" s="10">
        <v>6</v>
      </c>
      <c r="U249" s="10"/>
      <c r="V249" s="10"/>
      <c r="W249" s="10">
        <v>0</v>
      </c>
      <c r="X249" s="5">
        <v>0</v>
      </c>
      <c r="Y249" s="10"/>
      <c r="Z249" s="8">
        <v>1328939</v>
      </c>
      <c r="AA249" s="10">
        <v>262020</v>
      </c>
      <c r="AB249" s="10"/>
      <c r="AC249" s="61">
        <v>186586</v>
      </c>
      <c r="AD249" s="59">
        <v>538525</v>
      </c>
      <c r="AE249" s="35">
        <f t="shared" si="114"/>
        <v>725111</v>
      </c>
      <c r="AF249" s="10"/>
      <c r="AG249" s="8">
        <v>15</v>
      </c>
      <c r="AH249" s="10">
        <v>105</v>
      </c>
      <c r="AI249" s="10">
        <v>136</v>
      </c>
      <c r="AJ249" s="5">
        <v>20</v>
      </c>
      <c r="AK249" s="10"/>
      <c r="AL249" s="8"/>
      <c r="AM249" s="10"/>
      <c r="AN249" s="35"/>
      <c r="AO249" s="10"/>
      <c r="AP249" s="10"/>
      <c r="AQ249" s="35"/>
      <c r="AR249" s="59"/>
      <c r="AS249" s="59"/>
      <c r="AT249" s="59"/>
      <c r="AU249" s="59"/>
      <c r="AV249" s="62"/>
      <c r="AW249" s="10"/>
      <c r="AX249" s="326"/>
      <c r="AY249" s="5"/>
      <c r="AZ249" s="10"/>
      <c r="BA249" s="8"/>
      <c r="BB249" s="10"/>
      <c r="BC249" s="10"/>
      <c r="BD249" s="10"/>
      <c r="BE249" s="10"/>
      <c r="BF249" s="10"/>
      <c r="BG249" s="10"/>
      <c r="BH249" s="30"/>
      <c r="BI249" s="10"/>
      <c r="BJ249" s="338"/>
      <c r="BK249" s="338"/>
      <c r="BL249" s="303"/>
      <c r="BM249" s="5"/>
      <c r="BN249" s="10"/>
      <c r="BO249" s="8"/>
      <c r="BP249" s="5"/>
      <c r="BQ249" s="10"/>
      <c r="BR249" s="29">
        <v>1996</v>
      </c>
      <c r="BS249" s="64">
        <v>1996</v>
      </c>
      <c r="BT249" s="14">
        <v>2</v>
      </c>
      <c r="BU249" s="10"/>
      <c r="BV249" s="8"/>
      <c r="BW249" s="10"/>
      <c r="BX249" s="10"/>
      <c r="BY249" s="10"/>
      <c r="BZ249" s="10"/>
      <c r="CA249" s="10"/>
      <c r="CB249" s="10"/>
      <c r="CC249" s="221"/>
      <c r="CD249" s="10"/>
      <c r="CE249" s="317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317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38">
        <f t="shared" si="115"/>
        <v>0</v>
      </c>
      <c r="DW249" s="14" t="str">
        <f t="shared" si="116"/>
        <v>PROB</v>
      </c>
    </row>
    <row r="250" spans="1:127" customFormat="1">
      <c r="A250" s="210">
        <v>35096</v>
      </c>
      <c r="B250" s="211"/>
      <c r="C250" s="8">
        <v>1</v>
      </c>
      <c r="D250" s="10">
        <v>19</v>
      </c>
      <c r="E250" s="10">
        <v>1</v>
      </c>
      <c r="F250" s="10">
        <v>0</v>
      </c>
      <c r="G250" s="10">
        <v>1</v>
      </c>
      <c r="H250" s="10">
        <v>2</v>
      </c>
      <c r="I250" s="10">
        <v>0</v>
      </c>
      <c r="J250" s="10">
        <v>0</v>
      </c>
      <c r="K250" s="59">
        <v>0</v>
      </c>
      <c r="L250" s="59">
        <v>0</v>
      </c>
      <c r="M250" s="59"/>
      <c r="N250" s="59"/>
      <c r="O250" s="10">
        <v>5</v>
      </c>
      <c r="P250" s="10">
        <v>2</v>
      </c>
      <c r="Q250" s="10">
        <v>0</v>
      </c>
      <c r="R250" s="10">
        <v>0</v>
      </c>
      <c r="S250" s="35">
        <f t="shared" si="113"/>
        <v>31</v>
      </c>
      <c r="T250" s="10">
        <v>3</v>
      </c>
      <c r="U250" s="10"/>
      <c r="V250" s="10"/>
      <c r="W250" s="10">
        <v>0</v>
      </c>
      <c r="X250" s="5">
        <v>0</v>
      </c>
      <c r="Y250" s="10"/>
      <c r="Z250" s="8">
        <v>647788</v>
      </c>
      <c r="AA250" s="10">
        <v>697837</v>
      </c>
      <c r="AB250" s="10"/>
      <c r="AC250" s="61">
        <v>697837</v>
      </c>
      <c r="AD250" s="59">
        <v>804769</v>
      </c>
      <c r="AE250" s="35">
        <f t="shared" si="114"/>
        <v>1502606</v>
      </c>
      <c r="AF250" s="10"/>
      <c r="AG250" s="8">
        <v>43</v>
      </c>
      <c r="AH250" s="10">
        <v>11</v>
      </c>
      <c r="AI250" s="10">
        <v>100</v>
      </c>
      <c r="AJ250" s="5">
        <v>32</v>
      </c>
      <c r="AK250" s="10"/>
      <c r="AL250" s="8"/>
      <c r="AM250" s="10"/>
      <c r="AN250" s="35"/>
      <c r="AO250" s="10"/>
      <c r="AP250" s="10"/>
      <c r="AQ250" s="35"/>
      <c r="AR250" s="59"/>
      <c r="AS250" s="59"/>
      <c r="AT250" s="59"/>
      <c r="AU250" s="59"/>
      <c r="AV250" s="62"/>
      <c r="AW250" s="10"/>
      <c r="AX250" s="326"/>
      <c r="AY250" s="5"/>
      <c r="AZ250" s="10"/>
      <c r="BA250" s="8">
        <v>1619</v>
      </c>
      <c r="BB250" s="10">
        <v>27112369</v>
      </c>
      <c r="BC250" s="10">
        <v>19138560</v>
      </c>
      <c r="BD250" s="10"/>
      <c r="BE250" s="10">
        <v>57</v>
      </c>
      <c r="BF250" s="10">
        <v>5</v>
      </c>
      <c r="BG250" s="10">
        <v>3</v>
      </c>
      <c r="BH250" s="30"/>
      <c r="BI250" s="10">
        <v>2208278</v>
      </c>
      <c r="BJ250" s="338"/>
      <c r="BK250" s="338"/>
      <c r="BL250" s="303"/>
      <c r="BM250" s="5"/>
      <c r="BN250" s="10"/>
      <c r="BO250" s="8"/>
      <c r="BP250" s="5"/>
      <c r="BQ250" s="10"/>
      <c r="BR250" s="29">
        <v>1996</v>
      </c>
      <c r="BS250" s="64">
        <v>1996</v>
      </c>
      <c r="BT250" s="14">
        <v>3</v>
      </c>
      <c r="BU250" s="10"/>
      <c r="BV250" s="8"/>
      <c r="BW250" s="10"/>
      <c r="BX250" s="10"/>
      <c r="BY250" s="10"/>
      <c r="BZ250" s="10"/>
      <c r="CA250" s="10"/>
      <c r="CB250" s="10"/>
      <c r="CC250" s="221"/>
      <c r="CD250" s="10"/>
      <c r="CE250" s="317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317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38">
        <f t="shared" si="115"/>
        <v>0</v>
      </c>
      <c r="DW250" s="14" t="str">
        <f t="shared" si="116"/>
        <v>PROB</v>
      </c>
    </row>
    <row r="251" spans="1:127" customFormat="1">
      <c r="A251" s="210">
        <v>35110</v>
      </c>
      <c r="B251" s="211"/>
      <c r="C251" s="8">
        <v>0</v>
      </c>
      <c r="D251" s="10">
        <v>13</v>
      </c>
      <c r="E251" s="10">
        <v>0</v>
      </c>
      <c r="F251" s="10">
        <v>0</v>
      </c>
      <c r="G251" s="10">
        <v>3</v>
      </c>
      <c r="H251" s="10">
        <v>0</v>
      </c>
      <c r="I251" s="10">
        <v>0</v>
      </c>
      <c r="J251" s="10">
        <v>2</v>
      </c>
      <c r="K251" s="59">
        <v>0</v>
      </c>
      <c r="L251" s="59">
        <v>0</v>
      </c>
      <c r="M251" s="59"/>
      <c r="N251" s="59"/>
      <c r="O251" s="10">
        <v>2</v>
      </c>
      <c r="P251" s="10">
        <v>0</v>
      </c>
      <c r="Q251" s="10">
        <v>0</v>
      </c>
      <c r="R251" s="10">
        <v>0</v>
      </c>
      <c r="S251" s="35">
        <f t="shared" si="113"/>
        <v>20</v>
      </c>
      <c r="T251" s="10">
        <v>2</v>
      </c>
      <c r="U251" s="10"/>
      <c r="V251" s="10"/>
      <c r="W251" s="10">
        <v>0</v>
      </c>
      <c r="X251" s="5">
        <v>0</v>
      </c>
      <c r="Y251" s="10"/>
      <c r="Z251" s="8">
        <v>627158</v>
      </c>
      <c r="AA251" s="10">
        <v>458949</v>
      </c>
      <c r="AB251" s="10"/>
      <c r="AC251" s="61">
        <v>433635</v>
      </c>
      <c r="AD251" s="59">
        <v>732623</v>
      </c>
      <c r="AE251" s="35">
        <f t="shared" si="114"/>
        <v>1166258</v>
      </c>
      <c r="AF251" s="10"/>
      <c r="AG251" s="8">
        <v>42</v>
      </c>
      <c r="AH251" s="10">
        <v>15</v>
      </c>
      <c r="AI251" s="10">
        <v>86</v>
      </c>
      <c r="AJ251" s="5">
        <v>24</v>
      </c>
      <c r="AK251" s="10"/>
      <c r="AL251" s="8"/>
      <c r="AM251" s="10"/>
      <c r="AN251" s="35"/>
      <c r="AO251" s="10"/>
      <c r="AP251" s="10"/>
      <c r="AQ251" s="35"/>
      <c r="AR251" s="59"/>
      <c r="AS251" s="59"/>
      <c r="AT251" s="59"/>
      <c r="AU251" s="59"/>
      <c r="AV251" s="62"/>
      <c r="AW251" s="10"/>
      <c r="AX251" s="326"/>
      <c r="AY251" s="5"/>
      <c r="AZ251" s="10"/>
      <c r="BA251" s="8"/>
      <c r="BB251" s="10"/>
      <c r="BC251" s="10"/>
      <c r="BD251" s="10"/>
      <c r="BE251" s="10"/>
      <c r="BF251" s="10"/>
      <c r="BG251" s="10"/>
      <c r="BH251" s="30"/>
      <c r="BI251" s="10"/>
      <c r="BJ251" s="338"/>
      <c r="BK251" s="338"/>
      <c r="BL251" s="303"/>
      <c r="BM251" s="5"/>
      <c r="BN251" s="10"/>
      <c r="BO251" s="8"/>
      <c r="BP251" s="5"/>
      <c r="BQ251" s="10"/>
      <c r="BR251" s="29">
        <v>1996</v>
      </c>
      <c r="BS251" s="64">
        <v>1996</v>
      </c>
      <c r="BT251" s="14">
        <v>4</v>
      </c>
      <c r="BU251" s="10"/>
      <c r="BV251" s="8"/>
      <c r="BW251" s="10"/>
      <c r="BX251" s="10"/>
      <c r="BY251" s="10"/>
      <c r="BZ251" s="10"/>
      <c r="CA251" s="10"/>
      <c r="CB251" s="10"/>
      <c r="CC251" s="221"/>
      <c r="CD251" s="10"/>
      <c r="CE251" s="317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317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38">
        <f t="shared" si="115"/>
        <v>0</v>
      </c>
      <c r="DW251" s="14" t="str">
        <f t="shared" si="116"/>
        <v>PROB</v>
      </c>
    </row>
    <row r="252" spans="1:127" customFormat="1">
      <c r="A252" s="210">
        <v>35125</v>
      </c>
      <c r="B252" s="211"/>
      <c r="C252" s="8">
        <v>5</v>
      </c>
      <c r="D252" s="10">
        <v>11</v>
      </c>
      <c r="E252" s="10">
        <v>1</v>
      </c>
      <c r="F252" s="10">
        <v>0</v>
      </c>
      <c r="G252" s="10">
        <v>0</v>
      </c>
      <c r="H252" s="10">
        <v>0</v>
      </c>
      <c r="I252" s="10">
        <v>0</v>
      </c>
      <c r="J252" s="10">
        <v>1</v>
      </c>
      <c r="K252" s="59">
        <v>0</v>
      </c>
      <c r="L252" s="59">
        <v>0</v>
      </c>
      <c r="M252" s="59"/>
      <c r="N252" s="59"/>
      <c r="O252" s="10">
        <v>0</v>
      </c>
      <c r="P252" s="10">
        <v>0</v>
      </c>
      <c r="Q252" s="10">
        <v>0</v>
      </c>
      <c r="R252" s="10">
        <v>0</v>
      </c>
      <c r="S252" s="35">
        <f t="shared" si="113"/>
        <v>18</v>
      </c>
      <c r="T252" s="10">
        <v>3</v>
      </c>
      <c r="U252" s="10"/>
      <c r="V252" s="10"/>
      <c r="W252" s="10">
        <v>0</v>
      </c>
      <c r="X252" s="5">
        <v>0</v>
      </c>
      <c r="Y252" s="10"/>
      <c r="Z252" s="8">
        <v>612015</v>
      </c>
      <c r="AA252" s="10">
        <v>419924</v>
      </c>
      <c r="AB252" s="10"/>
      <c r="AC252" s="61">
        <v>407578</v>
      </c>
      <c r="AD252" s="59">
        <v>929586</v>
      </c>
      <c r="AE252" s="35">
        <f t="shared" si="114"/>
        <v>1337164</v>
      </c>
      <c r="AF252" s="10"/>
      <c r="AG252" s="8">
        <v>45</v>
      </c>
      <c r="AH252" s="10">
        <v>18</v>
      </c>
      <c r="AI252" s="10">
        <v>80</v>
      </c>
      <c r="AJ252" s="5">
        <v>24</v>
      </c>
      <c r="AK252" s="10"/>
      <c r="AL252" s="8">
        <v>32</v>
      </c>
      <c r="AM252" s="10">
        <v>138</v>
      </c>
      <c r="AN252" s="35">
        <f>SUM(AL252:AM252)</f>
        <v>170</v>
      </c>
      <c r="AO252" s="10">
        <v>174</v>
      </c>
      <c r="AP252" s="10">
        <v>18</v>
      </c>
      <c r="AQ252" s="35">
        <f>SUM(AO252:AP252)</f>
        <v>192</v>
      </c>
      <c r="AR252" s="59"/>
      <c r="AS252" s="59"/>
      <c r="AT252" s="59"/>
      <c r="AU252" s="59"/>
      <c r="AV252" s="62"/>
      <c r="AW252" s="10"/>
      <c r="AX252" s="326"/>
      <c r="AY252" s="5"/>
      <c r="AZ252" s="10"/>
      <c r="BA252" s="8">
        <v>1621</v>
      </c>
      <c r="BB252" s="10">
        <v>27205511</v>
      </c>
      <c r="BC252" s="10">
        <v>19204096</v>
      </c>
      <c r="BD252" s="10"/>
      <c r="BE252" s="10">
        <v>36</v>
      </c>
      <c r="BF252" s="10">
        <v>4</v>
      </c>
      <c r="BG252" s="10">
        <v>1</v>
      </c>
      <c r="BH252" s="30"/>
      <c r="BI252" s="10">
        <v>1252160</v>
      </c>
      <c r="BJ252" s="338"/>
      <c r="BK252" s="338"/>
      <c r="BL252" s="303"/>
      <c r="BM252" s="5"/>
      <c r="BN252" s="10"/>
      <c r="BO252" s="8"/>
      <c r="BP252" s="5"/>
      <c r="BQ252" s="10"/>
      <c r="BR252" s="29">
        <v>1996</v>
      </c>
      <c r="BS252" s="64">
        <v>1996</v>
      </c>
      <c r="BT252" s="14">
        <v>5</v>
      </c>
      <c r="BU252" s="10"/>
      <c r="BV252" s="8"/>
      <c r="BW252" s="10"/>
      <c r="BX252" s="10"/>
      <c r="BY252" s="10"/>
      <c r="BZ252" s="10"/>
      <c r="CA252" s="10"/>
      <c r="CB252" s="10"/>
      <c r="CC252" s="221"/>
      <c r="CD252" s="10"/>
      <c r="CE252" s="317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317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38">
        <f t="shared" si="115"/>
        <v>0</v>
      </c>
      <c r="DW252" s="14" t="str">
        <f t="shared" si="116"/>
        <v>PROB</v>
      </c>
    </row>
    <row r="253" spans="1:127" customFormat="1">
      <c r="A253" s="210">
        <v>35139</v>
      </c>
      <c r="B253" s="211"/>
      <c r="C253" s="8">
        <v>2</v>
      </c>
      <c r="D253" s="10">
        <v>16</v>
      </c>
      <c r="E253" s="10">
        <v>0</v>
      </c>
      <c r="F253" s="10">
        <v>0</v>
      </c>
      <c r="G253" s="10">
        <v>0</v>
      </c>
      <c r="H253" s="10">
        <v>1</v>
      </c>
      <c r="I253" s="10">
        <v>0</v>
      </c>
      <c r="J253" s="10">
        <v>1</v>
      </c>
      <c r="K253" s="59">
        <v>0</v>
      </c>
      <c r="L253" s="59">
        <v>0</v>
      </c>
      <c r="M253" s="59"/>
      <c r="N253" s="59"/>
      <c r="O253" s="10">
        <v>5</v>
      </c>
      <c r="P253" s="10">
        <v>0</v>
      </c>
      <c r="Q253" s="10">
        <v>0</v>
      </c>
      <c r="R253" s="10">
        <v>0</v>
      </c>
      <c r="S253" s="35">
        <f t="shared" si="113"/>
        <v>25</v>
      </c>
      <c r="T253" s="10">
        <v>1</v>
      </c>
      <c r="U253" s="10"/>
      <c r="V253" s="10"/>
      <c r="W253" s="10">
        <v>0</v>
      </c>
      <c r="X253" s="5">
        <v>0</v>
      </c>
      <c r="Y253" s="10"/>
      <c r="Z253" s="8">
        <v>611108</v>
      </c>
      <c r="AA253" s="10">
        <v>455999</v>
      </c>
      <c r="AB253" s="10"/>
      <c r="AC253" s="61">
        <v>443948</v>
      </c>
      <c r="AD253" s="59">
        <v>657984</v>
      </c>
      <c r="AE253" s="35">
        <f t="shared" si="114"/>
        <v>1101932</v>
      </c>
      <c r="AF253" s="10"/>
      <c r="AG253" s="8">
        <v>35</v>
      </c>
      <c r="AH253" s="10">
        <v>19</v>
      </c>
      <c r="AI253" s="10">
        <v>80</v>
      </c>
      <c r="AJ253" s="5">
        <v>24</v>
      </c>
      <c r="AK253" s="10"/>
      <c r="AL253" s="8"/>
      <c r="AM253" s="10"/>
      <c r="AN253" s="35"/>
      <c r="AO253" s="10"/>
      <c r="AP253" s="10"/>
      <c r="AQ253" s="35"/>
      <c r="AR253" s="59"/>
      <c r="AS253" s="59"/>
      <c r="AT253" s="59"/>
      <c r="AU253" s="59"/>
      <c r="AV253" s="62"/>
      <c r="AW253" s="10"/>
      <c r="AX253" s="326"/>
      <c r="AY253" s="5"/>
      <c r="AZ253" s="10"/>
      <c r="BA253" s="8"/>
      <c r="BB253" s="10"/>
      <c r="BC253" s="10"/>
      <c r="BD253" s="10"/>
      <c r="BE253" s="10"/>
      <c r="BF253" s="10"/>
      <c r="BG253" s="10"/>
      <c r="BH253" s="30"/>
      <c r="BI253" s="10"/>
      <c r="BJ253" s="338"/>
      <c r="BK253" s="338"/>
      <c r="BL253" s="303"/>
      <c r="BM253" s="5"/>
      <c r="BN253" s="10"/>
      <c r="BO253" s="8"/>
      <c r="BP253" s="5"/>
      <c r="BQ253" s="10"/>
      <c r="BR253" s="29">
        <v>1996</v>
      </c>
      <c r="BS253" s="64">
        <v>1996</v>
      </c>
      <c r="BT253" s="14">
        <v>6</v>
      </c>
      <c r="BU253" s="10"/>
      <c r="BV253" s="8"/>
      <c r="BW253" s="10"/>
      <c r="BX253" s="10"/>
      <c r="BY253" s="10"/>
      <c r="BZ253" s="10"/>
      <c r="CA253" s="10"/>
      <c r="CB253" s="10"/>
      <c r="CC253" s="221"/>
      <c r="CD253" s="10"/>
      <c r="CE253" s="317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317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38">
        <f t="shared" si="115"/>
        <v>0</v>
      </c>
      <c r="DW253" s="14" t="str">
        <f t="shared" si="116"/>
        <v>PROB</v>
      </c>
    </row>
    <row r="254" spans="1:127" customFormat="1">
      <c r="A254" s="210">
        <v>35156</v>
      </c>
      <c r="B254" s="211"/>
      <c r="C254" s="8">
        <v>5</v>
      </c>
      <c r="D254" s="10">
        <v>18</v>
      </c>
      <c r="E254" s="10">
        <v>3</v>
      </c>
      <c r="F254" s="10">
        <v>0</v>
      </c>
      <c r="G254" s="10">
        <v>3</v>
      </c>
      <c r="H254" s="10">
        <v>0</v>
      </c>
      <c r="I254" s="10">
        <v>0</v>
      </c>
      <c r="J254" s="10">
        <v>1</v>
      </c>
      <c r="K254" s="59">
        <v>0</v>
      </c>
      <c r="L254" s="59">
        <v>0</v>
      </c>
      <c r="M254" s="59"/>
      <c r="N254" s="59"/>
      <c r="O254" s="10">
        <v>27</v>
      </c>
      <c r="P254" s="10">
        <v>0</v>
      </c>
      <c r="Q254" s="10">
        <v>0</v>
      </c>
      <c r="R254" s="10">
        <v>0</v>
      </c>
      <c r="S254" s="35">
        <f t="shared" si="113"/>
        <v>57</v>
      </c>
      <c r="T254" s="10">
        <v>1</v>
      </c>
      <c r="U254" s="10"/>
      <c r="V254" s="10"/>
      <c r="W254" s="10">
        <v>0</v>
      </c>
      <c r="X254" s="5">
        <v>0</v>
      </c>
      <c r="Y254" s="10"/>
      <c r="Z254" s="8">
        <v>985665</v>
      </c>
      <c r="AA254" s="10">
        <v>937987</v>
      </c>
      <c r="AB254" s="10"/>
      <c r="AC254" s="61">
        <v>925532</v>
      </c>
      <c r="AD254" s="59">
        <v>1178382</v>
      </c>
      <c r="AE254" s="35">
        <f t="shared" si="114"/>
        <v>2103914</v>
      </c>
      <c r="AF254" s="10"/>
      <c r="AG254" s="8">
        <v>94</v>
      </c>
      <c r="AH254" s="10">
        <v>22</v>
      </c>
      <c r="AI254" s="10">
        <v>126</v>
      </c>
      <c r="AJ254" s="5">
        <v>32</v>
      </c>
      <c r="AK254" s="10"/>
      <c r="AL254" s="8"/>
      <c r="AM254" s="10"/>
      <c r="AN254" s="35"/>
      <c r="AO254" s="10"/>
      <c r="AP254" s="10"/>
      <c r="AQ254" s="35"/>
      <c r="AR254" s="59"/>
      <c r="AS254" s="59"/>
      <c r="AT254" s="59"/>
      <c r="AU254" s="59"/>
      <c r="AV254" s="62"/>
      <c r="AW254" s="10"/>
      <c r="AX254" s="326"/>
      <c r="AY254" s="5"/>
      <c r="AZ254" s="10"/>
      <c r="BA254" s="8">
        <v>1622</v>
      </c>
      <c r="BB254" s="10">
        <v>27261329</v>
      </c>
      <c r="BC254" s="10">
        <v>19251200</v>
      </c>
      <c r="BD254" s="10"/>
      <c r="BE254" s="10">
        <v>44</v>
      </c>
      <c r="BF254" s="10">
        <v>2</v>
      </c>
      <c r="BG254" s="10">
        <v>1</v>
      </c>
      <c r="BH254" s="30"/>
      <c r="BI254" s="10">
        <v>1306193</v>
      </c>
      <c r="BJ254" s="338"/>
      <c r="BK254" s="338"/>
      <c r="BL254" s="303"/>
      <c r="BM254" s="5"/>
      <c r="BN254" s="10"/>
      <c r="BO254" s="8"/>
      <c r="BP254" s="5"/>
      <c r="BQ254" s="10"/>
      <c r="BR254" s="29">
        <v>1996</v>
      </c>
      <c r="BS254" s="64">
        <v>1996</v>
      </c>
      <c r="BT254" s="14">
        <v>7</v>
      </c>
      <c r="BU254" s="10"/>
      <c r="BV254" s="8"/>
      <c r="BW254" s="10"/>
      <c r="BX254" s="10"/>
      <c r="BY254" s="10"/>
      <c r="BZ254" s="10"/>
      <c r="CA254" s="10"/>
      <c r="CB254" s="10"/>
      <c r="CC254" s="221"/>
      <c r="CD254" s="10"/>
      <c r="CE254" s="317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317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38">
        <f t="shared" si="115"/>
        <v>0</v>
      </c>
      <c r="DW254" s="14" t="str">
        <f t="shared" si="116"/>
        <v>PROB</v>
      </c>
    </row>
    <row r="255" spans="1:127" customFormat="1">
      <c r="A255" s="210">
        <v>35170</v>
      </c>
      <c r="B255" s="211"/>
      <c r="C255" s="8">
        <v>3</v>
      </c>
      <c r="D255" s="10">
        <v>17</v>
      </c>
      <c r="E255" s="10">
        <v>1</v>
      </c>
      <c r="F255" s="10">
        <v>1</v>
      </c>
      <c r="G255" s="10">
        <v>1</v>
      </c>
      <c r="H255" s="10">
        <v>1</v>
      </c>
      <c r="I255" s="10">
        <v>0</v>
      </c>
      <c r="J255" s="10">
        <v>2</v>
      </c>
      <c r="K255" s="59">
        <v>0</v>
      </c>
      <c r="L255" s="59">
        <v>0</v>
      </c>
      <c r="M255" s="59"/>
      <c r="N255" s="59"/>
      <c r="O255" s="10">
        <v>14</v>
      </c>
      <c r="P255" s="10">
        <v>0</v>
      </c>
      <c r="Q255" s="10">
        <v>0</v>
      </c>
      <c r="R255" s="10">
        <v>0</v>
      </c>
      <c r="S255" s="35">
        <f t="shared" si="113"/>
        <v>40</v>
      </c>
      <c r="T255" s="10">
        <v>0</v>
      </c>
      <c r="U255" s="10"/>
      <c r="V255" s="10"/>
      <c r="W255" s="10">
        <v>0</v>
      </c>
      <c r="X255" s="5">
        <v>0</v>
      </c>
      <c r="Y255" s="10"/>
      <c r="Z255" s="8">
        <v>1102714</v>
      </c>
      <c r="AA255" s="10">
        <v>860709</v>
      </c>
      <c r="AB255" s="10"/>
      <c r="AC255" s="61">
        <v>835655</v>
      </c>
      <c r="AD255" s="59">
        <v>841047</v>
      </c>
      <c r="AE255" s="35">
        <f t="shared" si="114"/>
        <v>1676702</v>
      </c>
      <c r="AF255" s="10"/>
      <c r="AG255" s="8">
        <v>107</v>
      </c>
      <c r="AH255" s="10">
        <v>24</v>
      </c>
      <c r="AI255" s="10">
        <v>138</v>
      </c>
      <c r="AJ255" s="5">
        <v>28</v>
      </c>
      <c r="AK255" s="10"/>
      <c r="AL255" s="8"/>
      <c r="AM255" s="10"/>
      <c r="AN255" s="35"/>
      <c r="AO255" s="10"/>
      <c r="AP255" s="10"/>
      <c r="AQ255" s="35"/>
      <c r="AR255" s="59"/>
      <c r="AS255" s="59"/>
      <c r="AT255" s="59"/>
      <c r="AU255" s="59"/>
      <c r="AV255" s="62"/>
      <c r="AW255" s="10"/>
      <c r="AX255" s="326"/>
      <c r="AY255" s="5"/>
      <c r="AZ255" s="10"/>
      <c r="BA255" s="8"/>
      <c r="BB255" s="10"/>
      <c r="BC255" s="10"/>
      <c r="BD255" s="10"/>
      <c r="BE255" s="10"/>
      <c r="BF255" s="10"/>
      <c r="BG255" s="10"/>
      <c r="BH255" s="30"/>
      <c r="BI255" s="10"/>
      <c r="BJ255" s="338"/>
      <c r="BK255" s="338"/>
      <c r="BL255" s="303"/>
      <c r="BM255" s="5"/>
      <c r="BN255" s="10"/>
      <c r="BO255" s="8"/>
      <c r="BP255" s="5"/>
      <c r="BQ255" s="10"/>
      <c r="BR255" s="29">
        <v>1996</v>
      </c>
      <c r="BS255" s="64">
        <v>1996</v>
      </c>
      <c r="BT255" s="14">
        <v>8</v>
      </c>
      <c r="BU255" s="10"/>
      <c r="BV255" s="8"/>
      <c r="BW255" s="10"/>
      <c r="BX255" s="10"/>
      <c r="BY255" s="10"/>
      <c r="BZ255" s="10"/>
      <c r="CA255" s="10"/>
      <c r="CB255" s="10"/>
      <c r="CC255" s="221"/>
      <c r="CD255" s="10"/>
      <c r="CE255" s="317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317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38">
        <f t="shared" si="115"/>
        <v>0</v>
      </c>
      <c r="DW255" s="14" t="str">
        <f t="shared" si="116"/>
        <v>PROB</v>
      </c>
    </row>
    <row r="256" spans="1:127" customFormat="1">
      <c r="A256" s="210">
        <v>35186</v>
      </c>
      <c r="B256" s="211"/>
      <c r="C256" s="8">
        <v>1</v>
      </c>
      <c r="D256" s="10">
        <v>17</v>
      </c>
      <c r="E256" s="10">
        <v>0</v>
      </c>
      <c r="F256" s="10">
        <v>1</v>
      </c>
      <c r="G256" s="10">
        <v>2</v>
      </c>
      <c r="H256" s="10">
        <v>0</v>
      </c>
      <c r="I256" s="10">
        <v>0</v>
      </c>
      <c r="J256" s="10">
        <v>0</v>
      </c>
      <c r="K256" s="59">
        <v>0</v>
      </c>
      <c r="L256" s="59">
        <v>0</v>
      </c>
      <c r="M256" s="59"/>
      <c r="N256" s="59"/>
      <c r="O256" s="10">
        <v>4</v>
      </c>
      <c r="P256" s="10">
        <v>0</v>
      </c>
      <c r="Q256" s="10">
        <v>0</v>
      </c>
      <c r="R256" s="10">
        <v>0</v>
      </c>
      <c r="S256" s="35">
        <f t="shared" si="113"/>
        <v>25</v>
      </c>
      <c r="T256" s="10">
        <v>0</v>
      </c>
      <c r="U256" s="10"/>
      <c r="V256" s="10"/>
      <c r="W256" s="10">
        <v>0</v>
      </c>
      <c r="X256" s="5">
        <v>0</v>
      </c>
      <c r="Y256" s="10"/>
      <c r="Z256" s="8">
        <v>981715</v>
      </c>
      <c r="AA256" s="10">
        <v>520232</v>
      </c>
      <c r="AB256" s="10"/>
      <c r="AC256" s="61">
        <v>520232</v>
      </c>
      <c r="AD256" s="59">
        <v>736671</v>
      </c>
      <c r="AE256" s="35">
        <f t="shared" si="114"/>
        <v>1256903</v>
      </c>
      <c r="AF256" s="10"/>
      <c r="AG256" s="8">
        <v>71</v>
      </c>
      <c r="AH256" s="10">
        <v>29</v>
      </c>
      <c r="AI256" s="10">
        <v>124</v>
      </c>
      <c r="AJ256" s="5">
        <v>24</v>
      </c>
      <c r="AK256" s="10"/>
      <c r="AL256" s="8"/>
      <c r="AM256" s="10"/>
      <c r="AN256" s="35"/>
      <c r="AO256" s="10"/>
      <c r="AP256" s="10"/>
      <c r="AQ256" s="35"/>
      <c r="AR256" s="59"/>
      <c r="AS256" s="59"/>
      <c r="AT256" s="59"/>
      <c r="AU256" s="59"/>
      <c r="AV256" s="62"/>
      <c r="AW256" s="10"/>
      <c r="AX256" s="326"/>
      <c r="AY256" s="5"/>
      <c r="AZ256" s="10"/>
      <c r="BA256" s="8">
        <v>1625</v>
      </c>
      <c r="BB256" s="10">
        <v>27326543</v>
      </c>
      <c r="BC256" s="10">
        <v>19306496</v>
      </c>
      <c r="BD256" s="10"/>
      <c r="BE256" s="10">
        <v>55</v>
      </c>
      <c r="BF256" s="10">
        <v>6</v>
      </c>
      <c r="BG256" s="10">
        <v>3</v>
      </c>
      <c r="BH256" s="30"/>
      <c r="BI256" s="10">
        <v>1829374</v>
      </c>
      <c r="BJ256" s="338"/>
      <c r="BK256" s="338"/>
      <c r="BL256" s="303"/>
      <c r="BM256" s="5"/>
      <c r="BN256" s="10"/>
      <c r="BO256" s="8"/>
      <c r="BP256" s="5"/>
      <c r="BQ256" s="10"/>
      <c r="BR256" s="29">
        <v>1996</v>
      </c>
      <c r="BS256" s="64">
        <v>1996</v>
      </c>
      <c r="BT256" s="14">
        <v>9</v>
      </c>
      <c r="BU256" s="10"/>
      <c r="BV256" s="8"/>
      <c r="BW256" s="10"/>
      <c r="BX256" s="10"/>
      <c r="BY256" s="10"/>
      <c r="BZ256" s="10"/>
      <c r="CA256" s="10"/>
      <c r="CB256" s="10"/>
      <c r="CC256" s="221"/>
      <c r="CD256" s="10"/>
      <c r="CE256" s="317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317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38">
        <f t="shared" si="115"/>
        <v>0</v>
      </c>
      <c r="DW256" s="14" t="str">
        <f t="shared" si="116"/>
        <v>PROB</v>
      </c>
    </row>
    <row r="257" spans="1:127" customFormat="1">
      <c r="A257" s="210">
        <v>35200</v>
      </c>
      <c r="B257" s="211"/>
      <c r="C257" s="8">
        <v>2</v>
      </c>
      <c r="D257" s="10">
        <v>14</v>
      </c>
      <c r="E257" s="10">
        <v>0</v>
      </c>
      <c r="F257" s="10">
        <v>1</v>
      </c>
      <c r="G257" s="10">
        <v>2</v>
      </c>
      <c r="H257" s="10">
        <v>1</v>
      </c>
      <c r="I257" s="10">
        <v>0</v>
      </c>
      <c r="J257" s="10">
        <v>5</v>
      </c>
      <c r="K257" s="59">
        <v>0</v>
      </c>
      <c r="L257" s="59">
        <v>0</v>
      </c>
      <c r="M257" s="59"/>
      <c r="N257" s="59"/>
      <c r="O257" s="10">
        <v>3</v>
      </c>
      <c r="P257" s="10">
        <v>0</v>
      </c>
      <c r="Q257" s="10">
        <v>0</v>
      </c>
      <c r="R257" s="10">
        <v>0</v>
      </c>
      <c r="S257" s="35">
        <f t="shared" si="113"/>
        <v>28</v>
      </c>
      <c r="T257" s="10">
        <v>1</v>
      </c>
      <c r="U257" s="10"/>
      <c r="V257" s="10"/>
      <c r="W257" s="10">
        <v>0</v>
      </c>
      <c r="X257" s="5">
        <v>0</v>
      </c>
      <c r="Y257" s="10"/>
      <c r="Z257" s="8">
        <v>812029</v>
      </c>
      <c r="AA257" s="10">
        <v>434009</v>
      </c>
      <c r="AB257" s="10"/>
      <c r="AC257" s="61">
        <v>368156</v>
      </c>
      <c r="AD257" s="59">
        <v>836609</v>
      </c>
      <c r="AE257" s="35">
        <f t="shared" si="114"/>
        <v>1204765</v>
      </c>
      <c r="AF257" s="10"/>
      <c r="AG257" s="8">
        <v>46</v>
      </c>
      <c r="AH257" s="10">
        <v>32</v>
      </c>
      <c r="AI257" s="10">
        <v>90</v>
      </c>
      <c r="AJ257" s="5">
        <v>32</v>
      </c>
      <c r="AK257" s="10"/>
      <c r="AL257" s="8"/>
      <c r="AM257" s="10"/>
      <c r="AN257" s="35"/>
      <c r="AO257" s="10"/>
      <c r="AP257" s="10"/>
      <c r="AQ257" s="35"/>
      <c r="AR257" s="59"/>
      <c r="AS257" s="59"/>
      <c r="AT257" s="59"/>
      <c r="AU257" s="59"/>
      <c r="AV257" s="62"/>
      <c r="AW257" s="10"/>
      <c r="AX257" s="326"/>
      <c r="AY257" s="5"/>
      <c r="AZ257" s="10"/>
      <c r="BA257" s="8"/>
      <c r="BB257" s="10"/>
      <c r="BC257" s="10"/>
      <c r="BD257" s="10"/>
      <c r="BE257" s="10"/>
      <c r="BF257" s="10"/>
      <c r="BG257" s="10"/>
      <c r="BH257" s="30"/>
      <c r="BI257" s="10"/>
      <c r="BJ257" s="338"/>
      <c r="BK257" s="338"/>
      <c r="BL257" s="303"/>
      <c r="BM257" s="5"/>
      <c r="BN257" s="10"/>
      <c r="BO257" s="8"/>
      <c r="BP257" s="5"/>
      <c r="BQ257" s="10"/>
      <c r="BR257" s="29">
        <v>1996</v>
      </c>
      <c r="BS257" s="64">
        <v>1996</v>
      </c>
      <c r="BT257" s="14">
        <v>10</v>
      </c>
      <c r="BU257" s="10"/>
      <c r="BV257" s="8"/>
      <c r="BW257" s="10"/>
      <c r="BX257" s="10"/>
      <c r="BY257" s="10"/>
      <c r="BZ257" s="10"/>
      <c r="CA257" s="10"/>
      <c r="CB257" s="10"/>
      <c r="CC257" s="221"/>
      <c r="CD257" s="10"/>
      <c r="CE257" s="317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317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38">
        <f t="shared" si="115"/>
        <v>0</v>
      </c>
      <c r="DW257" s="14" t="str">
        <f t="shared" si="116"/>
        <v>PROB</v>
      </c>
    </row>
    <row r="258" spans="1:127" customFormat="1">
      <c r="A258" s="210">
        <v>35217</v>
      </c>
      <c r="B258" s="211"/>
      <c r="C258" s="8">
        <v>4</v>
      </c>
      <c r="D258" s="10">
        <v>43</v>
      </c>
      <c r="E258" s="10">
        <v>1</v>
      </c>
      <c r="F258" s="10">
        <v>0</v>
      </c>
      <c r="G258" s="10">
        <v>0</v>
      </c>
      <c r="H258" s="10">
        <v>0</v>
      </c>
      <c r="I258" s="10">
        <v>0</v>
      </c>
      <c r="J258" s="10">
        <v>1</v>
      </c>
      <c r="K258" s="59">
        <v>0</v>
      </c>
      <c r="L258" s="59">
        <v>0</v>
      </c>
      <c r="M258" s="59"/>
      <c r="N258" s="59"/>
      <c r="O258" s="10">
        <v>3</v>
      </c>
      <c r="P258" s="10">
        <v>1</v>
      </c>
      <c r="Q258" s="10">
        <v>0</v>
      </c>
      <c r="R258" s="10">
        <v>0</v>
      </c>
      <c r="S258" s="35">
        <f t="shared" si="113"/>
        <v>53</v>
      </c>
      <c r="T258" s="10">
        <v>2</v>
      </c>
      <c r="U258" s="10"/>
      <c r="V258" s="10"/>
      <c r="W258" s="10">
        <v>0</v>
      </c>
      <c r="X258" s="5">
        <v>0</v>
      </c>
      <c r="Y258" s="10"/>
      <c r="Z258" s="8">
        <v>1365296</v>
      </c>
      <c r="AA258" s="10">
        <v>893097</v>
      </c>
      <c r="AB258" s="10"/>
      <c r="AC258" s="61">
        <v>860444</v>
      </c>
      <c r="AD258" s="59">
        <v>1297338</v>
      </c>
      <c r="AE258" s="35">
        <f t="shared" si="114"/>
        <v>2157782</v>
      </c>
      <c r="AF258" s="10"/>
      <c r="AG258" s="8">
        <v>115</v>
      </c>
      <c r="AH258" s="10">
        <v>34</v>
      </c>
      <c r="AI258" s="10">
        <v>160</v>
      </c>
      <c r="AJ258" s="5">
        <v>48</v>
      </c>
      <c r="AK258" s="10"/>
      <c r="AL258" s="8"/>
      <c r="AM258" s="10"/>
      <c r="AN258" s="35"/>
      <c r="AO258" s="10"/>
      <c r="AP258" s="10"/>
      <c r="AQ258" s="35"/>
      <c r="AR258" s="59"/>
      <c r="AS258" s="59"/>
      <c r="AT258" s="59"/>
      <c r="AU258" s="59"/>
      <c r="AV258" s="62"/>
      <c r="AW258" s="10"/>
      <c r="AX258" s="326"/>
      <c r="AY258" s="5"/>
      <c r="AZ258" s="10"/>
      <c r="BA258" s="8">
        <v>1631</v>
      </c>
      <c r="BB258" s="10">
        <v>27365608</v>
      </c>
      <c r="BC258" s="10">
        <v>19357696</v>
      </c>
      <c r="BD258" s="10"/>
      <c r="BE258" s="10">
        <v>30</v>
      </c>
      <c r="BF258" s="10">
        <v>9</v>
      </c>
      <c r="BG258" s="10">
        <v>3</v>
      </c>
      <c r="BH258" s="30"/>
      <c r="BI258" s="10">
        <v>1531647</v>
      </c>
      <c r="BJ258" s="338"/>
      <c r="BK258" s="338"/>
      <c r="BL258" s="303"/>
      <c r="BM258" s="5"/>
      <c r="BN258" s="10"/>
      <c r="BO258" s="8"/>
      <c r="BP258" s="5">
        <v>149</v>
      </c>
      <c r="BQ258" s="10"/>
      <c r="BR258" s="29">
        <v>1996</v>
      </c>
      <c r="BS258" s="64">
        <v>1996</v>
      </c>
      <c r="BT258" s="14">
        <v>11</v>
      </c>
      <c r="BU258" s="10"/>
      <c r="BV258" s="8"/>
      <c r="BW258" s="10"/>
      <c r="BX258" s="10"/>
      <c r="BY258" s="10"/>
      <c r="BZ258" s="10"/>
      <c r="CA258" s="10"/>
      <c r="CB258" s="10"/>
      <c r="CC258" s="221"/>
      <c r="CD258" s="10"/>
      <c r="CE258" s="317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317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38">
        <f t="shared" si="115"/>
        <v>0</v>
      </c>
      <c r="DW258" s="14" t="str">
        <f t="shared" si="116"/>
        <v>PROB</v>
      </c>
    </row>
    <row r="259" spans="1:127" customFormat="1">
      <c r="A259" s="210">
        <v>35231</v>
      </c>
      <c r="B259" s="211"/>
      <c r="C259" s="8">
        <v>4</v>
      </c>
      <c r="D259" s="10">
        <v>10</v>
      </c>
      <c r="E259" s="10">
        <v>4</v>
      </c>
      <c r="F259" s="10">
        <v>0</v>
      </c>
      <c r="G259" s="10">
        <v>2</v>
      </c>
      <c r="H259" s="10">
        <v>1</v>
      </c>
      <c r="I259" s="10">
        <v>0</v>
      </c>
      <c r="J259" s="10">
        <v>4</v>
      </c>
      <c r="K259" s="59">
        <v>0</v>
      </c>
      <c r="L259" s="59">
        <v>0</v>
      </c>
      <c r="M259" s="59"/>
      <c r="N259" s="59"/>
      <c r="O259" s="10">
        <v>2</v>
      </c>
      <c r="P259" s="10">
        <v>3</v>
      </c>
      <c r="Q259" s="10">
        <v>0</v>
      </c>
      <c r="R259" s="10">
        <v>0</v>
      </c>
      <c r="S259" s="35">
        <f t="shared" si="113"/>
        <v>30</v>
      </c>
      <c r="T259" s="10">
        <v>1</v>
      </c>
      <c r="U259" s="10"/>
      <c r="V259" s="10"/>
      <c r="W259" s="10">
        <v>0</v>
      </c>
      <c r="X259" s="5">
        <v>1</v>
      </c>
      <c r="Y259" s="10"/>
      <c r="Z259" s="8">
        <v>986930</v>
      </c>
      <c r="AA259" s="10">
        <v>344215</v>
      </c>
      <c r="AB259" s="10"/>
      <c r="AC259" s="61">
        <v>410765</v>
      </c>
      <c r="AD259" s="59">
        <v>902005</v>
      </c>
      <c r="AE259" s="79">
        <f t="shared" si="114"/>
        <v>1312770</v>
      </c>
      <c r="AF259" s="10"/>
      <c r="AG259" s="8">
        <v>53</v>
      </c>
      <c r="AH259" s="10">
        <v>38</v>
      </c>
      <c r="AI259" s="10">
        <v>116</v>
      </c>
      <c r="AJ259" s="5">
        <v>28</v>
      </c>
      <c r="AK259" s="10"/>
      <c r="AL259" s="8"/>
      <c r="AM259" s="10"/>
      <c r="AN259" s="35"/>
      <c r="AO259" s="10"/>
      <c r="AP259" s="10"/>
      <c r="AQ259" s="35"/>
      <c r="AR259" s="59"/>
      <c r="AS259" s="59"/>
      <c r="AT259" s="59"/>
      <c r="AU259" s="59"/>
      <c r="AV259" s="62"/>
      <c r="AW259" s="10"/>
      <c r="AX259" s="326"/>
      <c r="AY259" s="5"/>
      <c r="AZ259" s="10"/>
      <c r="BA259" s="8"/>
      <c r="BB259" s="10"/>
      <c r="BC259" s="10"/>
      <c r="BD259" s="10"/>
      <c r="BE259" s="10"/>
      <c r="BF259" s="10"/>
      <c r="BG259" s="10"/>
      <c r="BH259" s="30"/>
      <c r="BI259" s="10"/>
      <c r="BJ259" s="338"/>
      <c r="BK259" s="338"/>
      <c r="BL259" s="303"/>
      <c r="BM259" s="5"/>
      <c r="BN259" s="10"/>
      <c r="BO259" s="8"/>
      <c r="BP259" s="5"/>
      <c r="BQ259" s="10"/>
      <c r="BR259" s="29">
        <v>1996</v>
      </c>
      <c r="BS259" s="64">
        <v>1996</v>
      </c>
      <c r="BT259" s="14">
        <v>12</v>
      </c>
      <c r="BU259" s="10"/>
      <c r="BV259" s="8"/>
      <c r="BW259" s="10"/>
      <c r="BX259" s="10"/>
      <c r="BY259" s="10"/>
      <c r="BZ259" s="10"/>
      <c r="CA259" s="10"/>
      <c r="CB259" s="10"/>
      <c r="CC259" s="221"/>
      <c r="CD259" s="10"/>
      <c r="CE259" s="317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317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38">
        <f t="shared" si="115"/>
        <v>0</v>
      </c>
      <c r="DW259" s="14" t="str">
        <f t="shared" si="116"/>
        <v>PROB</v>
      </c>
    </row>
    <row r="260" spans="1:127" s="6" customFormat="1" ht="12" thickBot="1">
      <c r="A260" s="212" t="s">
        <v>99</v>
      </c>
      <c r="B260" s="83"/>
      <c r="C260" s="52">
        <f t="shared" ref="C260:X260" si="117">SUM(C236:C259)</f>
        <v>55</v>
      </c>
      <c r="D260" s="53">
        <f t="shared" si="117"/>
        <v>435</v>
      </c>
      <c r="E260" s="53">
        <f t="shared" si="117"/>
        <v>21</v>
      </c>
      <c r="F260" s="53">
        <f t="shared" si="117"/>
        <v>6</v>
      </c>
      <c r="G260" s="53">
        <f t="shared" si="117"/>
        <v>42</v>
      </c>
      <c r="H260" s="53">
        <f t="shared" si="117"/>
        <v>23</v>
      </c>
      <c r="I260" s="53">
        <f>SUM(I236:I259)</f>
        <v>0</v>
      </c>
      <c r="J260" s="53">
        <f t="shared" si="117"/>
        <v>64</v>
      </c>
      <c r="K260" s="53">
        <f t="shared" si="117"/>
        <v>0</v>
      </c>
      <c r="L260" s="53">
        <f t="shared" si="117"/>
        <v>0</v>
      </c>
      <c r="M260" s="53"/>
      <c r="N260" s="53"/>
      <c r="O260" s="53">
        <f>SUM(O236:O259)</f>
        <v>216</v>
      </c>
      <c r="P260" s="53">
        <f t="shared" si="117"/>
        <v>24</v>
      </c>
      <c r="Q260" s="53">
        <f t="shared" si="117"/>
        <v>0</v>
      </c>
      <c r="R260" s="53">
        <f t="shared" si="117"/>
        <v>0</v>
      </c>
      <c r="S260" s="55">
        <f t="shared" si="117"/>
        <v>886</v>
      </c>
      <c r="T260" s="53">
        <f t="shared" si="117"/>
        <v>80</v>
      </c>
      <c r="U260" s="53">
        <f t="shared" si="117"/>
        <v>0</v>
      </c>
      <c r="V260" s="53">
        <f t="shared" ref="V260" si="118">SUM(V236:V259)</f>
        <v>0</v>
      </c>
      <c r="W260" s="53">
        <f t="shared" si="117"/>
        <v>5</v>
      </c>
      <c r="X260" s="54">
        <f t="shared" si="117"/>
        <v>1</v>
      </c>
      <c r="Z260" s="52">
        <f>SUM(Z236:Z259)</f>
        <v>28254657</v>
      </c>
      <c r="AA260" s="53">
        <f>SUM(AA236:AA259)</f>
        <v>17341225</v>
      </c>
      <c r="AB260" s="53"/>
      <c r="AC260" s="52">
        <f>SUM(AC236:AC259)</f>
        <v>16786222</v>
      </c>
      <c r="AD260" s="53">
        <f>SUM(AD236:AD259)</f>
        <v>23305141</v>
      </c>
      <c r="AE260" s="55">
        <f>SUM(AE236:AE259)</f>
        <v>40091363</v>
      </c>
      <c r="AG260" s="52">
        <f>SUM(AG236:AG259)</f>
        <v>1554</v>
      </c>
      <c r="AH260" s="53">
        <f>SUM(AH236:AH259)</f>
        <v>1102</v>
      </c>
      <c r="AI260" s="53">
        <f>SUM(AI236:AI259)</f>
        <v>3090</v>
      </c>
      <c r="AJ260" s="54">
        <f>SUM(AJ236:AJ259)</f>
        <v>682</v>
      </c>
      <c r="AL260" s="52">
        <f t="shared" ref="AL260:AV260" si="119">SUM(AL236:AL259)</f>
        <v>64</v>
      </c>
      <c r="AM260" s="53">
        <f t="shared" si="119"/>
        <v>287</v>
      </c>
      <c r="AN260" s="55">
        <f t="shared" si="119"/>
        <v>351</v>
      </c>
      <c r="AO260" s="53">
        <f t="shared" si="119"/>
        <v>349</v>
      </c>
      <c r="AP260" s="53">
        <f t="shared" si="119"/>
        <v>41</v>
      </c>
      <c r="AQ260" s="55">
        <f t="shared" si="119"/>
        <v>390</v>
      </c>
      <c r="AR260" s="53">
        <f t="shared" si="119"/>
        <v>0</v>
      </c>
      <c r="AS260" s="53">
        <f t="shared" si="119"/>
        <v>0</v>
      </c>
      <c r="AT260" s="53">
        <f t="shared" si="119"/>
        <v>0</v>
      </c>
      <c r="AU260" s="53">
        <f t="shared" si="119"/>
        <v>0</v>
      </c>
      <c r="AV260" s="54">
        <f t="shared" si="119"/>
        <v>0</v>
      </c>
      <c r="AX260" s="329"/>
      <c r="AY260" s="54"/>
      <c r="BA260" s="52">
        <f t="shared" ref="BA260:BM260" si="120">SUM(BA236:BA259)</f>
        <v>19370</v>
      </c>
      <c r="BB260" s="53">
        <f t="shared" si="120"/>
        <v>136271360</v>
      </c>
      <c r="BC260" s="53">
        <f t="shared" ref="BC260:BL260" si="121">SUM(BC236:BC259)</f>
        <v>209885184</v>
      </c>
      <c r="BD260" s="53">
        <f t="shared" si="121"/>
        <v>0</v>
      </c>
      <c r="BE260" s="53">
        <f t="shared" si="121"/>
        <v>622</v>
      </c>
      <c r="BF260" s="53">
        <f t="shared" si="121"/>
        <v>61</v>
      </c>
      <c r="BG260" s="53">
        <f t="shared" si="121"/>
        <v>26</v>
      </c>
      <c r="BH260" s="55"/>
      <c r="BI260" s="53">
        <f t="shared" si="121"/>
        <v>8127652</v>
      </c>
      <c r="BJ260" s="339"/>
      <c r="BK260" s="339"/>
      <c r="BL260" s="53">
        <f t="shared" si="121"/>
        <v>0</v>
      </c>
      <c r="BM260" s="54">
        <f t="shared" si="120"/>
        <v>0</v>
      </c>
      <c r="BO260" s="52">
        <f>SUM(BO236:BO259)</f>
        <v>0</v>
      </c>
      <c r="BP260" s="54">
        <f>SUM(BP236:BP259)</f>
        <v>149</v>
      </c>
      <c r="BR260" s="81" t="s">
        <v>100</v>
      </c>
      <c r="BS260" s="80"/>
      <c r="BT260" s="82"/>
      <c r="BV260" s="52">
        <f>SUM(BV236:BV259)</f>
        <v>8</v>
      </c>
      <c r="BW260" s="53">
        <f>SUM(BW236:BW259)</f>
        <v>41</v>
      </c>
      <c r="BX260" s="53">
        <f t="shared" ref="BX260:DU260" si="122">SUM(BX236:BX259)</f>
        <v>0</v>
      </c>
      <c r="BY260" s="53">
        <f t="shared" si="122"/>
        <v>0</v>
      </c>
      <c r="BZ260" s="53">
        <f t="shared" si="122"/>
        <v>0</v>
      </c>
      <c r="CA260" s="53">
        <f t="shared" si="122"/>
        <v>0</v>
      </c>
      <c r="CB260" s="53">
        <f t="shared" si="122"/>
        <v>0</v>
      </c>
      <c r="CC260" s="53">
        <f t="shared" si="122"/>
        <v>0</v>
      </c>
      <c r="CD260" s="53">
        <f t="shared" si="122"/>
        <v>50</v>
      </c>
      <c r="CE260" s="53">
        <f t="shared" si="122"/>
        <v>0</v>
      </c>
      <c r="CF260" s="53">
        <f t="shared" si="122"/>
        <v>8</v>
      </c>
      <c r="CG260" s="53">
        <f t="shared" si="122"/>
        <v>0</v>
      </c>
      <c r="CH260" s="53">
        <f t="shared" si="122"/>
        <v>0</v>
      </c>
      <c r="CI260" s="53">
        <f t="shared" si="122"/>
        <v>10</v>
      </c>
      <c r="CJ260" s="53">
        <f t="shared" si="122"/>
        <v>68</v>
      </c>
      <c r="CK260" s="53">
        <f t="shared" si="122"/>
        <v>0</v>
      </c>
      <c r="CL260" s="53">
        <f t="shared" si="122"/>
        <v>0</v>
      </c>
      <c r="CM260" s="53">
        <f t="shared" si="122"/>
        <v>0</v>
      </c>
      <c r="CN260" s="53">
        <f t="shared" si="122"/>
        <v>0</v>
      </c>
      <c r="CO260" s="53">
        <f t="shared" si="122"/>
        <v>20</v>
      </c>
      <c r="CP260" s="53">
        <f t="shared" si="122"/>
        <v>0</v>
      </c>
      <c r="CQ260" s="53">
        <f t="shared" si="122"/>
        <v>0</v>
      </c>
      <c r="CR260" s="53">
        <f t="shared" si="122"/>
        <v>0</v>
      </c>
      <c r="CS260" s="53">
        <f t="shared" si="122"/>
        <v>17</v>
      </c>
      <c r="CT260" s="53">
        <f t="shared" si="122"/>
        <v>86</v>
      </c>
      <c r="CU260" s="53">
        <f t="shared" si="122"/>
        <v>25</v>
      </c>
      <c r="CV260" s="53">
        <f t="shared" si="122"/>
        <v>12</v>
      </c>
      <c r="CW260" s="53">
        <f t="shared" si="122"/>
        <v>0</v>
      </c>
      <c r="CX260" s="53">
        <f t="shared" si="122"/>
        <v>0</v>
      </c>
      <c r="CY260" s="53">
        <f t="shared" si="122"/>
        <v>0</v>
      </c>
      <c r="CZ260" s="53">
        <f t="shared" si="122"/>
        <v>0</v>
      </c>
      <c r="DA260" s="53">
        <f t="shared" si="122"/>
        <v>0</v>
      </c>
      <c r="DB260" s="53">
        <f t="shared" si="122"/>
        <v>29</v>
      </c>
      <c r="DC260" s="53">
        <f t="shared" si="122"/>
        <v>0</v>
      </c>
      <c r="DD260" s="53">
        <f t="shared" si="122"/>
        <v>0</v>
      </c>
      <c r="DE260" s="53">
        <f t="shared" si="122"/>
        <v>0</v>
      </c>
      <c r="DF260" s="53">
        <f t="shared" si="122"/>
        <v>0</v>
      </c>
      <c r="DG260" s="53">
        <f t="shared" si="122"/>
        <v>14</v>
      </c>
      <c r="DH260" s="53">
        <f t="shared" si="122"/>
        <v>3</v>
      </c>
      <c r="DI260" s="53">
        <f t="shared" si="122"/>
        <v>4</v>
      </c>
      <c r="DJ260" s="53">
        <f t="shared" si="122"/>
        <v>0</v>
      </c>
      <c r="DK260" s="53">
        <f t="shared" si="122"/>
        <v>0</v>
      </c>
      <c r="DL260" s="53">
        <f t="shared" si="122"/>
        <v>0</v>
      </c>
      <c r="DM260" s="53">
        <f t="shared" si="122"/>
        <v>31</v>
      </c>
      <c r="DN260" s="53">
        <f t="shared" si="122"/>
        <v>0</v>
      </c>
      <c r="DO260" s="53">
        <f t="shared" si="122"/>
        <v>13</v>
      </c>
      <c r="DP260" s="53">
        <f t="shared" si="122"/>
        <v>0</v>
      </c>
      <c r="DQ260" s="53">
        <f t="shared" si="122"/>
        <v>0</v>
      </c>
      <c r="DR260" s="53">
        <f t="shared" si="122"/>
        <v>0</v>
      </c>
      <c r="DS260" s="53">
        <f t="shared" si="122"/>
        <v>0</v>
      </c>
      <c r="DT260" s="53">
        <f t="shared" si="122"/>
        <v>44</v>
      </c>
      <c r="DU260" s="53">
        <f t="shared" si="122"/>
        <v>0</v>
      </c>
      <c r="DV260" s="54">
        <f t="shared" si="115"/>
        <v>483</v>
      </c>
      <c r="DW260" s="48"/>
    </row>
    <row r="261" spans="1:127" s="6" customFormat="1" ht="12" thickTop="1">
      <c r="A261" s="213" t="s">
        <v>101</v>
      </c>
      <c r="B261" s="24"/>
      <c r="C261" s="39">
        <f t="shared" ref="C261:R261" si="123">ROUND(IF(ISERROR(AVERAGE(C236:C259)),0,AVERAGE(C236:C259)),0)</f>
        <v>2</v>
      </c>
      <c r="D261" s="24">
        <f t="shared" si="123"/>
        <v>18</v>
      </c>
      <c r="E261" s="24">
        <f t="shared" si="123"/>
        <v>1</v>
      </c>
      <c r="F261" s="24">
        <f t="shared" si="123"/>
        <v>0</v>
      </c>
      <c r="G261" s="24">
        <f t="shared" si="123"/>
        <v>2</v>
      </c>
      <c r="H261" s="24">
        <f t="shared" si="123"/>
        <v>1</v>
      </c>
      <c r="I261" s="24">
        <f>ROUND(IF(ISERROR(AVERAGE(I236:I259)),0,AVERAGE(I236:I259)),0)</f>
        <v>0</v>
      </c>
      <c r="J261" s="24">
        <f t="shared" si="123"/>
        <v>3</v>
      </c>
      <c r="K261" s="24">
        <f t="shared" si="123"/>
        <v>0</v>
      </c>
      <c r="L261" s="24">
        <f t="shared" si="123"/>
        <v>0</v>
      </c>
      <c r="M261" s="24"/>
      <c r="N261" s="24"/>
      <c r="O261" s="24">
        <f>ROUND(IF(ISERROR(AVERAGE(O236:O259)),0,AVERAGE(O236:O259)),0)</f>
        <v>9</v>
      </c>
      <c r="P261" s="24">
        <f t="shared" si="123"/>
        <v>1</v>
      </c>
      <c r="Q261" s="24">
        <f t="shared" si="123"/>
        <v>0</v>
      </c>
      <c r="R261" s="24">
        <f t="shared" si="123"/>
        <v>0</v>
      </c>
      <c r="S261" s="31">
        <f>SUM(C261:R261)</f>
        <v>37</v>
      </c>
      <c r="T261" s="24">
        <f>ROUND(IF(ISERROR(AVERAGE(T236:T259)),0,AVERAGE(T236:T259)),0)</f>
        <v>3</v>
      </c>
      <c r="U261" s="24">
        <f>ROUND(IF(ISERROR(AVERAGE(U236:U259)),0,AVERAGE(U236:U259)),0)</f>
        <v>0</v>
      </c>
      <c r="V261" s="24">
        <f>ROUND(IF(ISERROR(AVERAGE(V236:V259)),0,AVERAGE(V236:V259)),0)</f>
        <v>0</v>
      </c>
      <c r="W261" s="24">
        <f>ROUND(IF(ISERROR(AVERAGE(W236:W259)),0,AVERAGE(W236:W259)),0)</f>
        <v>0</v>
      </c>
      <c r="X261" s="40">
        <f>ROUND(IF(ISERROR(AVERAGE(X236:X259)),0,AVERAGE(X236:X259)),0)</f>
        <v>0</v>
      </c>
      <c r="Z261" s="39">
        <f>ROUND(IF(ISERROR(AVERAGE(Z236:Z259)),0,AVERAGE(Z236:Z259)),0)</f>
        <v>1177277</v>
      </c>
      <c r="AA261" s="24">
        <f>ROUND(IF(ISERROR(AVERAGE(AA236:AA259)),0,AVERAGE(AA236:AA259)),0)</f>
        <v>722551</v>
      </c>
      <c r="AB261" s="24"/>
      <c r="AC261" s="39">
        <f>ROUND(IF(ISERROR(AVERAGE(AC236:AC259)),0,AVERAGE(AC236:AC259)),0)</f>
        <v>699426</v>
      </c>
      <c r="AD261" s="24">
        <f>ROUND(IF(ISERROR(AVERAGE(AD236:AD259)),0,AVERAGE(AD236:AD259)),0)</f>
        <v>971048</v>
      </c>
      <c r="AE261" s="31">
        <f>SUM(AC261:AD261)</f>
        <v>1670474</v>
      </c>
      <c r="AG261" s="39">
        <f>ROUND(IF(ISERROR(AVERAGE(AG236:AG259)),0,AVERAGE(AG236:AG259)),0)</f>
        <v>65</v>
      </c>
      <c r="AH261" s="24">
        <f>ROUND(IF(ISERROR(AVERAGE(AH236:AH259)),0,AVERAGE(AH236:AH259)),0)</f>
        <v>46</v>
      </c>
      <c r="AI261" s="24">
        <f>ROUND(IF(ISERROR(AVERAGE(AI236:AI259)),0,AVERAGE(AI236:AI259)),0)</f>
        <v>129</v>
      </c>
      <c r="AJ261" s="40">
        <f>ROUND(IF(ISERROR(AVERAGE(AJ236:AJ259)),0,AVERAGE(AJ236:AJ259)),0)</f>
        <v>28</v>
      </c>
      <c r="AL261" s="39">
        <f>ROUND(IF(ISERROR(AVERAGE(AL236:AL259)),0,AVERAGE(AL236:AL259)),0)</f>
        <v>32</v>
      </c>
      <c r="AM261" s="24">
        <f>ROUND(IF(ISERROR(AVERAGE(AM236:AM259)),0,AVERAGE(AM236:AM259)),0)</f>
        <v>144</v>
      </c>
      <c r="AN261" s="31">
        <f>SUM(AL261:AM261)</f>
        <v>176</v>
      </c>
      <c r="AO261" s="24">
        <f>ROUND(IF(ISERROR(AVERAGE(AO236:AO259)),0,AVERAGE(AO236:AO259)),0)</f>
        <v>175</v>
      </c>
      <c r="AP261" s="24">
        <f>ROUND(IF(ISERROR(AVERAGE(AP236:AP259)),0,AVERAGE(AP236:AP259)),0)</f>
        <v>21</v>
      </c>
      <c r="AQ261" s="31">
        <f>SUM(AO261:AP261)</f>
        <v>196</v>
      </c>
      <c r="AR261" s="24">
        <f>ROUND(IF(ISERROR(AVERAGE(AR236:AR259)),0,AVERAGE(AR236:AR259)),0)</f>
        <v>0</v>
      </c>
      <c r="AS261" s="24">
        <f>ROUND(IF(ISERROR(AVERAGE(AS236:AS259)),0,AVERAGE(AS236:AS259)),0)</f>
        <v>0</v>
      </c>
      <c r="AT261" s="24">
        <f>ROUND(IF(ISERROR(AVERAGE(AT236:AT259)),0,AVERAGE(AT236:AT259)),0)</f>
        <v>0</v>
      </c>
      <c r="AU261" s="24">
        <f>ROUND(IF(ISERROR(AVERAGE(AU236:AU259)),0,AVERAGE(AU236:AU259)),0)</f>
        <v>0</v>
      </c>
      <c r="AV261" s="40">
        <f>ROUND(IF(ISERROR(AVERAGE(AV236:AV259)),0,AVERAGE(AV236:AV259)),0)</f>
        <v>0</v>
      </c>
      <c r="AX261" s="330"/>
      <c r="AY261" s="40"/>
      <c r="BA261" s="39">
        <f t="shared" ref="BA261:BM261" si="124">ROUND(IF(ISERROR(AVERAGE(BA236:BA259)),0,AVERAGE(BA236:BA259)),0)</f>
        <v>1614</v>
      </c>
      <c r="BB261" s="24">
        <f t="shared" si="124"/>
        <v>27254272</v>
      </c>
      <c r="BC261" s="24">
        <f t="shared" ref="BC261:BL261" si="125">ROUND(IF(ISERROR(AVERAGE(BC236:BC259)),0,AVERAGE(BC236:BC259)),0)</f>
        <v>19080471</v>
      </c>
      <c r="BD261" s="24">
        <f t="shared" si="125"/>
        <v>0</v>
      </c>
      <c r="BE261" s="24">
        <f t="shared" si="125"/>
        <v>52</v>
      </c>
      <c r="BF261" s="24">
        <f t="shared" si="125"/>
        <v>5</v>
      </c>
      <c r="BG261" s="24">
        <f t="shared" si="125"/>
        <v>2</v>
      </c>
      <c r="BH261" s="31"/>
      <c r="BI261" s="24">
        <f t="shared" si="125"/>
        <v>1625530</v>
      </c>
      <c r="BJ261" s="340"/>
      <c r="BK261" s="340"/>
      <c r="BL261" s="24">
        <f t="shared" si="125"/>
        <v>0</v>
      </c>
      <c r="BM261" s="40">
        <f t="shared" si="124"/>
        <v>0</v>
      </c>
      <c r="BO261" s="39">
        <f>ROUND(IF(ISERROR(AVERAGE(BO236:BO259)),0,AVERAGE(BO236:BO259)),0)</f>
        <v>0</v>
      </c>
      <c r="BP261" s="40">
        <f>ROUND(IF(ISERROR(AVERAGE(BP236:BP259)),0,AVERAGE(BP236:BP259)),0)</f>
        <v>149</v>
      </c>
      <c r="BR261" s="65" t="s">
        <v>102</v>
      </c>
      <c r="BS261" s="19"/>
      <c r="BT261" s="14"/>
      <c r="BV261" s="39">
        <f>ROUND(IF(ISERROR(AVERAGE(BV236:BV259)),0,AVERAGE(BV236:BV259)),0)</f>
        <v>1</v>
      </c>
      <c r="BW261" s="24">
        <f>ROUND(IF(ISERROR(AVERAGE(BW236:BW259)),0,AVERAGE(BW236:BW259)),0)</f>
        <v>3</v>
      </c>
      <c r="BX261" s="24">
        <f t="shared" ref="BX261:DU261" si="126">ROUND(IF(ISERROR(AVERAGE(BX236:BX259)),0,AVERAGE(BX236:BX259)),0)</f>
        <v>0</v>
      </c>
      <c r="BY261" s="24">
        <f t="shared" si="126"/>
        <v>0</v>
      </c>
      <c r="BZ261" s="24">
        <f t="shared" si="126"/>
        <v>0</v>
      </c>
      <c r="CA261" s="24">
        <f t="shared" si="126"/>
        <v>0</v>
      </c>
      <c r="CB261" s="24">
        <f t="shared" si="126"/>
        <v>0</v>
      </c>
      <c r="CC261" s="24">
        <f t="shared" si="126"/>
        <v>0</v>
      </c>
      <c r="CD261" s="24">
        <f t="shared" si="126"/>
        <v>4</v>
      </c>
      <c r="CE261" s="24">
        <f t="shared" si="126"/>
        <v>0</v>
      </c>
      <c r="CF261" s="24">
        <f t="shared" si="126"/>
        <v>1</v>
      </c>
      <c r="CG261" s="24">
        <f t="shared" si="126"/>
        <v>0</v>
      </c>
      <c r="CH261" s="24">
        <f t="shared" si="126"/>
        <v>0</v>
      </c>
      <c r="CI261" s="24">
        <f t="shared" si="126"/>
        <v>1</v>
      </c>
      <c r="CJ261" s="24">
        <f t="shared" si="126"/>
        <v>6</v>
      </c>
      <c r="CK261" s="24">
        <f t="shared" si="126"/>
        <v>0</v>
      </c>
      <c r="CL261" s="24">
        <f t="shared" si="126"/>
        <v>0</v>
      </c>
      <c r="CM261" s="24">
        <f t="shared" si="126"/>
        <v>0</v>
      </c>
      <c r="CN261" s="24">
        <f t="shared" si="126"/>
        <v>0</v>
      </c>
      <c r="CO261" s="24">
        <f t="shared" si="126"/>
        <v>2</v>
      </c>
      <c r="CP261" s="24">
        <f t="shared" si="126"/>
        <v>0</v>
      </c>
      <c r="CQ261" s="24">
        <f t="shared" si="126"/>
        <v>0</v>
      </c>
      <c r="CR261" s="24">
        <f t="shared" si="126"/>
        <v>0</v>
      </c>
      <c r="CS261" s="24">
        <f t="shared" si="126"/>
        <v>1</v>
      </c>
      <c r="CT261" s="24">
        <f t="shared" si="126"/>
        <v>7</v>
      </c>
      <c r="CU261" s="24">
        <f t="shared" si="126"/>
        <v>2</v>
      </c>
      <c r="CV261" s="24">
        <f t="shared" si="126"/>
        <v>1</v>
      </c>
      <c r="CW261" s="24">
        <f t="shared" si="126"/>
        <v>0</v>
      </c>
      <c r="CX261" s="24">
        <f t="shared" si="126"/>
        <v>0</v>
      </c>
      <c r="CY261" s="24">
        <f t="shared" si="126"/>
        <v>0</v>
      </c>
      <c r="CZ261" s="24">
        <f t="shared" si="126"/>
        <v>0</v>
      </c>
      <c r="DA261" s="24">
        <f t="shared" si="126"/>
        <v>0</v>
      </c>
      <c r="DB261" s="24">
        <f t="shared" si="126"/>
        <v>2</v>
      </c>
      <c r="DC261" s="24">
        <f t="shared" si="126"/>
        <v>0</v>
      </c>
      <c r="DD261" s="24">
        <f t="shared" si="126"/>
        <v>0</v>
      </c>
      <c r="DE261" s="24">
        <f t="shared" si="126"/>
        <v>0</v>
      </c>
      <c r="DF261" s="24">
        <f t="shared" si="126"/>
        <v>0</v>
      </c>
      <c r="DG261" s="24">
        <f t="shared" si="126"/>
        <v>1</v>
      </c>
      <c r="DH261" s="24">
        <f t="shared" si="126"/>
        <v>0</v>
      </c>
      <c r="DI261" s="24">
        <f t="shared" si="126"/>
        <v>0</v>
      </c>
      <c r="DJ261" s="24">
        <f t="shared" si="126"/>
        <v>0</v>
      </c>
      <c r="DK261" s="24">
        <f t="shared" si="126"/>
        <v>0</v>
      </c>
      <c r="DL261" s="24">
        <f t="shared" si="126"/>
        <v>0</v>
      </c>
      <c r="DM261" s="24">
        <f t="shared" si="126"/>
        <v>3</v>
      </c>
      <c r="DN261" s="24">
        <f t="shared" si="126"/>
        <v>0</v>
      </c>
      <c r="DO261" s="24">
        <f t="shared" si="126"/>
        <v>1</v>
      </c>
      <c r="DP261" s="24">
        <f t="shared" si="126"/>
        <v>0</v>
      </c>
      <c r="DQ261" s="24">
        <f t="shared" si="126"/>
        <v>0</v>
      </c>
      <c r="DR261" s="24">
        <f t="shared" si="126"/>
        <v>0</v>
      </c>
      <c r="DS261" s="24">
        <f t="shared" si="126"/>
        <v>0</v>
      </c>
      <c r="DT261" s="24">
        <f t="shared" si="126"/>
        <v>4</v>
      </c>
      <c r="DU261" s="24">
        <f t="shared" si="126"/>
        <v>0</v>
      </c>
      <c r="DV261" s="18"/>
      <c r="DW261" s="48"/>
    </row>
    <row r="262" spans="1:127" customFormat="1">
      <c r="A262" s="210" t="s">
        <v>103</v>
      </c>
      <c r="B262" s="211"/>
      <c r="C262" s="8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30">
        <f>MEDIAN(S236:S259)</f>
        <v>34.5</v>
      </c>
      <c r="T262" s="10"/>
      <c r="U262" s="10"/>
      <c r="V262" s="10"/>
      <c r="W262" s="10"/>
      <c r="X262" s="5"/>
      <c r="Y262" s="10"/>
      <c r="Z262" s="8"/>
      <c r="AA262" s="10">
        <f>IF(ISERROR(MEDIAN(AA236:AA259)),"",MEDIAN(AA236:AA259))</f>
        <v>693494.5</v>
      </c>
      <c r="AB262" s="10"/>
      <c r="AC262" s="8"/>
      <c r="AD262" s="10"/>
      <c r="AE262" s="30"/>
      <c r="AF262" s="10"/>
      <c r="AG262" s="8"/>
      <c r="AH262" s="10"/>
      <c r="AI262" s="10">
        <f>IF(ISERROR(MEDIAN(AI236:AI259)),"",MEDIAN(AI236:AI259))</f>
        <v>134</v>
      </c>
      <c r="AJ262" s="5">
        <f>IF(ISERROR(MEDIAN(AJ236:AJ259)),"",MEDIAN(AJ236:AJ259))</f>
        <v>28</v>
      </c>
      <c r="AK262" s="10"/>
      <c r="AL262" s="8"/>
      <c r="AM262" s="10"/>
      <c r="AN262" s="30"/>
      <c r="AO262" s="10"/>
      <c r="AP262" s="10"/>
      <c r="AQ262" s="30"/>
      <c r="AR262" s="10"/>
      <c r="AS262" s="10"/>
      <c r="AT262" s="10"/>
      <c r="AU262" s="10"/>
      <c r="AV262" s="5"/>
      <c r="AW262" s="10"/>
      <c r="AX262" s="326"/>
      <c r="AY262" s="5"/>
      <c r="AZ262" s="10"/>
      <c r="BA262" s="8">
        <f>IF(ISERROR(MEDIAN(BA236:BA259)),"",MEDIAN(BA236:BA259))</f>
        <v>1616</v>
      </c>
      <c r="BB262" s="10"/>
      <c r="BC262" s="10"/>
      <c r="BD262" s="10"/>
      <c r="BE262" s="10"/>
      <c r="BF262" s="10"/>
      <c r="BG262" s="10"/>
      <c r="BH262" s="30"/>
      <c r="BI262" s="10"/>
      <c r="BJ262" s="338"/>
      <c r="BK262" s="338"/>
      <c r="BL262" s="303"/>
      <c r="BM262" s="5"/>
      <c r="BN262" s="10"/>
      <c r="BO262" s="8"/>
      <c r="BP262" s="5"/>
      <c r="BQ262" s="10"/>
      <c r="BR262" s="65"/>
      <c r="BS262" s="19"/>
      <c r="BT262" s="14"/>
      <c r="BU262" s="10"/>
      <c r="BV262" s="8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5"/>
      <c r="DW262" s="21"/>
    </row>
    <row r="263" spans="1:127" customFormat="1" ht="12" thickBot="1">
      <c r="A263" s="214" t="s">
        <v>104</v>
      </c>
      <c r="B263" s="195"/>
      <c r="C263" s="41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32">
        <f>MODE(S236:S259)</f>
        <v>30</v>
      </c>
      <c r="T263" s="22"/>
      <c r="U263" s="22"/>
      <c r="V263" s="22"/>
      <c r="W263" s="22"/>
      <c r="X263" s="42"/>
      <c r="Y263" s="22"/>
      <c r="Z263" s="41"/>
      <c r="AA263" s="22"/>
      <c r="AB263" s="22"/>
      <c r="AC263" s="41"/>
      <c r="AD263" s="22"/>
      <c r="AE263" s="32"/>
      <c r="AF263" s="22"/>
      <c r="AG263" s="41"/>
      <c r="AH263" s="22"/>
      <c r="AI263" s="22">
        <f>IF(ISERROR(MODE(AI236:AI259)),"",MODE(AI236:AI259))</f>
        <v>126</v>
      </c>
      <c r="AJ263" s="42">
        <f>IF(ISERROR(MODE(AJ236:AJ259)),"",MODE(AJ236:AJ259))</f>
        <v>24</v>
      </c>
      <c r="AK263" s="22"/>
      <c r="AL263" s="41"/>
      <c r="AM263" s="22"/>
      <c r="AN263" s="32"/>
      <c r="AO263" s="22"/>
      <c r="AP263" s="22"/>
      <c r="AQ263" s="32"/>
      <c r="AR263" s="22"/>
      <c r="AS263" s="22"/>
      <c r="AT263" s="22"/>
      <c r="AU263" s="22"/>
      <c r="AV263" s="42"/>
      <c r="AW263" s="22"/>
      <c r="AX263" s="331"/>
      <c r="AY263" s="42"/>
      <c r="AZ263" s="22"/>
      <c r="BA263" s="41"/>
      <c r="BB263" s="22"/>
      <c r="BC263" s="22"/>
      <c r="BD263" s="22"/>
      <c r="BE263" s="22"/>
      <c r="BF263" s="22"/>
      <c r="BG263" s="22"/>
      <c r="BH263" s="32"/>
      <c r="BI263" s="22"/>
      <c r="BJ263" s="341"/>
      <c r="BK263" s="341"/>
      <c r="BL263" s="306"/>
      <c r="BM263" s="42"/>
      <c r="BN263" s="22"/>
      <c r="BO263" s="41"/>
      <c r="BP263" s="42"/>
      <c r="BQ263" s="22"/>
      <c r="BR263" s="66"/>
      <c r="BS263" s="51"/>
      <c r="BT263" s="67"/>
      <c r="BU263" s="22"/>
      <c r="BV263" s="41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42"/>
      <c r="DW263" s="23"/>
    </row>
    <row r="264" spans="1:127" customFormat="1" ht="12" thickBot="1">
      <c r="A264" s="194"/>
      <c r="B264" s="194"/>
      <c r="C264" s="8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30"/>
      <c r="T264" s="10"/>
      <c r="U264" s="10"/>
      <c r="V264" s="10"/>
      <c r="W264" s="10"/>
      <c r="X264" s="5"/>
      <c r="Z264" s="8"/>
      <c r="AA264" s="10"/>
      <c r="AB264" s="10"/>
      <c r="AC264" s="8"/>
      <c r="AD264" s="10"/>
      <c r="AE264" s="30"/>
      <c r="AG264" s="8"/>
      <c r="AH264" s="10"/>
      <c r="AI264" s="10"/>
      <c r="AJ264" s="5"/>
      <c r="AL264" s="8"/>
      <c r="AM264" s="10"/>
      <c r="AN264" s="30"/>
      <c r="AO264" s="10"/>
      <c r="AP264" s="10"/>
      <c r="AQ264" s="30"/>
      <c r="AR264" s="10"/>
      <c r="AS264" s="10"/>
      <c r="AT264" s="10"/>
      <c r="AU264" s="10"/>
      <c r="AV264" s="5"/>
      <c r="AX264" s="326"/>
      <c r="AY264" s="5"/>
      <c r="AZ264" s="324"/>
      <c r="BA264" s="8"/>
      <c r="BB264" s="10"/>
      <c r="BC264" s="10"/>
      <c r="BD264" s="10"/>
      <c r="BE264" s="10"/>
      <c r="BF264" s="10"/>
      <c r="BG264" s="10"/>
      <c r="BH264" s="30"/>
      <c r="BI264" s="10"/>
      <c r="BJ264" s="338"/>
      <c r="BK264" s="338"/>
      <c r="BL264" s="303"/>
      <c r="BM264" s="5"/>
      <c r="BO264" s="8"/>
      <c r="BP264" s="5"/>
      <c r="BR264" s="65"/>
      <c r="BS264" s="19"/>
      <c r="BT264" s="14"/>
      <c r="BV264" s="8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5"/>
    </row>
    <row r="265" spans="1:127" customFormat="1">
      <c r="A265" s="208">
        <v>35247</v>
      </c>
      <c r="B265" s="209"/>
      <c r="C265" s="36">
        <v>2</v>
      </c>
      <c r="D265" s="9">
        <v>26</v>
      </c>
      <c r="E265" s="9">
        <v>10</v>
      </c>
      <c r="F265" s="9">
        <v>1</v>
      </c>
      <c r="G265" s="9">
        <v>6</v>
      </c>
      <c r="H265" s="9">
        <v>0</v>
      </c>
      <c r="I265" s="9">
        <v>0</v>
      </c>
      <c r="J265" s="9">
        <v>3</v>
      </c>
      <c r="K265" s="9">
        <v>0</v>
      </c>
      <c r="L265" s="9">
        <v>0</v>
      </c>
      <c r="M265" s="9"/>
      <c r="N265" s="9"/>
      <c r="O265" s="9">
        <v>14</v>
      </c>
      <c r="P265" s="9">
        <v>1</v>
      </c>
      <c r="Q265" s="9">
        <v>0</v>
      </c>
      <c r="R265" s="9">
        <v>0</v>
      </c>
      <c r="S265" s="33">
        <f t="shared" ref="S265:S288" si="127">SUM(C265:R265)</f>
        <v>63</v>
      </c>
      <c r="T265" s="9">
        <v>8</v>
      </c>
      <c r="U265" s="9"/>
      <c r="V265" s="9"/>
      <c r="W265" s="9">
        <v>0</v>
      </c>
      <c r="X265" s="37">
        <v>0</v>
      </c>
      <c r="Y265" s="9"/>
      <c r="Z265" s="36">
        <v>1408097</v>
      </c>
      <c r="AA265" s="9">
        <v>1038057</v>
      </c>
      <c r="AB265" s="9"/>
      <c r="AC265" s="36">
        <v>953706</v>
      </c>
      <c r="AD265" s="9">
        <v>1231492</v>
      </c>
      <c r="AE265" s="33">
        <f t="shared" ref="AE265:AE288" si="128">SUM(AC265:AD265)</f>
        <v>2185198</v>
      </c>
      <c r="AF265" s="9"/>
      <c r="AG265" s="36">
        <v>110</v>
      </c>
      <c r="AH265" s="9">
        <v>40</v>
      </c>
      <c r="AI265" s="9">
        <v>164</v>
      </c>
      <c r="AJ265" s="37">
        <v>48</v>
      </c>
      <c r="AK265" s="9"/>
      <c r="AL265" s="36">
        <v>32</v>
      </c>
      <c r="AM265" s="9">
        <v>113</v>
      </c>
      <c r="AN265" s="33">
        <f>SUM(AL265:AM265)</f>
        <v>145</v>
      </c>
      <c r="AO265" s="9">
        <v>175</v>
      </c>
      <c r="AP265" s="9">
        <v>19</v>
      </c>
      <c r="AQ265" s="33">
        <f>SUM(AO265:AP265)</f>
        <v>194</v>
      </c>
      <c r="AR265" s="92"/>
      <c r="AS265" s="92"/>
      <c r="AT265" s="92"/>
      <c r="AU265" s="92"/>
      <c r="AV265" s="93"/>
      <c r="AW265" s="9"/>
      <c r="AX265" s="325"/>
      <c r="AY265" s="37"/>
      <c r="AZ265" s="9"/>
      <c r="BA265" s="36">
        <v>1633</v>
      </c>
      <c r="BB265" s="9">
        <v>27376638</v>
      </c>
      <c r="BC265" s="9">
        <v>19228672</v>
      </c>
      <c r="BD265" s="9"/>
      <c r="BE265" s="9">
        <v>34</v>
      </c>
      <c r="BF265" s="9">
        <v>2</v>
      </c>
      <c r="BG265" s="9">
        <v>0</v>
      </c>
      <c r="BH265" s="350"/>
      <c r="BI265" s="9">
        <v>1048903</v>
      </c>
      <c r="BJ265" s="337"/>
      <c r="BK265" s="337"/>
      <c r="BL265" s="302"/>
      <c r="BM265" s="37"/>
      <c r="BN265" s="9"/>
      <c r="BO265" s="36"/>
      <c r="BP265" s="37">
        <v>149</v>
      </c>
      <c r="BQ265" s="9"/>
      <c r="BR265" s="74">
        <v>1997</v>
      </c>
      <c r="BS265" s="75">
        <v>1996</v>
      </c>
      <c r="BT265" s="13">
        <v>13</v>
      </c>
      <c r="BU265" s="9"/>
      <c r="BV265" s="36"/>
      <c r="BW265" s="9"/>
      <c r="BX265" s="9"/>
      <c r="BY265" s="9"/>
      <c r="BZ265" s="9"/>
      <c r="CA265" s="9"/>
      <c r="CB265" s="9"/>
      <c r="CC265" s="223"/>
      <c r="CD265" s="9"/>
      <c r="CE265" s="220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220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44">
        <f t="shared" ref="DV265:DV289" si="129">SUM(BV265:DU265)</f>
        <v>0</v>
      </c>
      <c r="DW265" s="13" t="str">
        <f t="shared" ref="DW265:DW288" si="130">IF(DV265=S265,"","PROB")</f>
        <v>PROB</v>
      </c>
    </row>
    <row r="266" spans="1:127" customFormat="1">
      <c r="A266" s="210">
        <v>35261</v>
      </c>
      <c r="B266" s="211"/>
      <c r="C266" s="8">
        <v>0</v>
      </c>
      <c r="D266" s="10">
        <v>11</v>
      </c>
      <c r="E266" s="10">
        <v>2</v>
      </c>
      <c r="F266" s="10">
        <v>0</v>
      </c>
      <c r="G266" s="10">
        <v>3</v>
      </c>
      <c r="H266" s="10">
        <v>1</v>
      </c>
      <c r="I266" s="10">
        <v>0</v>
      </c>
      <c r="J266" s="10">
        <v>1</v>
      </c>
      <c r="K266" s="59">
        <v>0</v>
      </c>
      <c r="L266" s="59">
        <v>0</v>
      </c>
      <c r="M266" s="59"/>
      <c r="N266" s="59"/>
      <c r="O266" s="10">
        <v>4</v>
      </c>
      <c r="P266" s="10">
        <v>0</v>
      </c>
      <c r="Q266" s="10">
        <v>0</v>
      </c>
      <c r="R266" s="10">
        <v>0</v>
      </c>
      <c r="S266" s="35">
        <f t="shared" si="127"/>
        <v>22</v>
      </c>
      <c r="T266" s="10">
        <v>1</v>
      </c>
      <c r="U266" s="10"/>
      <c r="V266" s="10"/>
      <c r="W266" s="10">
        <v>0</v>
      </c>
      <c r="X266" s="5">
        <v>0</v>
      </c>
      <c r="Y266" s="10"/>
      <c r="Z266" s="8">
        <v>1274193</v>
      </c>
      <c r="AA266" s="10">
        <v>613904</v>
      </c>
      <c r="AB266" s="10"/>
      <c r="AC266" s="61">
        <v>593706</v>
      </c>
      <c r="AD266" s="59">
        <v>891286</v>
      </c>
      <c r="AE266" s="35">
        <f t="shared" si="128"/>
        <v>1484992</v>
      </c>
      <c r="AF266" s="10"/>
      <c r="AG266" s="8">
        <v>80</v>
      </c>
      <c r="AH266" s="10">
        <v>45</v>
      </c>
      <c r="AI266" s="10">
        <v>140</v>
      </c>
      <c r="AJ266" s="5">
        <v>32</v>
      </c>
      <c r="AK266" s="10"/>
      <c r="AL266" s="8"/>
      <c r="AM266" s="10"/>
      <c r="AN266" s="35"/>
      <c r="AO266" s="10"/>
      <c r="AP266" s="10"/>
      <c r="AQ266" s="35"/>
      <c r="AR266" s="59"/>
      <c r="AS266" s="59"/>
      <c r="AT266" s="59"/>
      <c r="AU266" s="59"/>
      <c r="AV266" s="62"/>
      <c r="AW266" s="10"/>
      <c r="AX266" s="326"/>
      <c r="AY266" s="5"/>
      <c r="AZ266" s="10"/>
      <c r="BA266" s="8"/>
      <c r="BB266" s="10"/>
      <c r="BC266" s="10"/>
      <c r="BD266" s="10"/>
      <c r="BE266" s="10"/>
      <c r="BF266" s="10"/>
      <c r="BG266" s="10"/>
      <c r="BH266" s="30"/>
      <c r="BI266" s="10"/>
      <c r="BJ266" s="338"/>
      <c r="BK266" s="338"/>
      <c r="BL266" s="303"/>
      <c r="BM266" s="5"/>
      <c r="BN266" s="10"/>
      <c r="BO266" s="8"/>
      <c r="BP266" s="5"/>
      <c r="BQ266" s="10"/>
      <c r="BR266" s="29">
        <v>1997</v>
      </c>
      <c r="BS266" s="64">
        <v>1996</v>
      </c>
      <c r="BT266" s="14">
        <v>14</v>
      </c>
      <c r="BU266" s="10"/>
      <c r="BV266" s="8"/>
      <c r="BW266" s="10"/>
      <c r="BX266" s="10"/>
      <c r="BY266" s="10"/>
      <c r="BZ266" s="10"/>
      <c r="CA266" s="10"/>
      <c r="CB266" s="10"/>
      <c r="CC266" s="221"/>
      <c r="CD266" s="10"/>
      <c r="CE266" s="317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317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38">
        <f t="shared" si="129"/>
        <v>0</v>
      </c>
      <c r="DW266" s="14" t="str">
        <f t="shared" si="130"/>
        <v>PROB</v>
      </c>
    </row>
    <row r="267" spans="1:127" customFormat="1">
      <c r="A267" s="210">
        <v>35278</v>
      </c>
      <c r="B267" s="211"/>
      <c r="C267" s="8">
        <v>4</v>
      </c>
      <c r="D267" s="10">
        <v>25</v>
      </c>
      <c r="E267" s="10">
        <v>1</v>
      </c>
      <c r="F267" s="10">
        <v>0</v>
      </c>
      <c r="G267" s="10">
        <v>4</v>
      </c>
      <c r="H267" s="10">
        <v>0</v>
      </c>
      <c r="I267" s="10">
        <v>0</v>
      </c>
      <c r="J267" s="10">
        <v>1</v>
      </c>
      <c r="K267" s="59">
        <v>0</v>
      </c>
      <c r="L267" s="59">
        <v>0</v>
      </c>
      <c r="M267" s="59"/>
      <c r="N267" s="59"/>
      <c r="O267" s="10">
        <v>3</v>
      </c>
      <c r="P267" s="10">
        <v>0</v>
      </c>
      <c r="Q267" s="10">
        <v>0</v>
      </c>
      <c r="R267" s="10">
        <v>0</v>
      </c>
      <c r="S267" s="35">
        <f t="shared" si="127"/>
        <v>38</v>
      </c>
      <c r="T267" s="10">
        <v>1</v>
      </c>
      <c r="U267" s="10"/>
      <c r="V267" s="10"/>
      <c r="W267" s="10">
        <v>0</v>
      </c>
      <c r="X267" s="5">
        <v>0</v>
      </c>
      <c r="Y267" s="10"/>
      <c r="Z267" s="8">
        <v>1122346</v>
      </c>
      <c r="AA267" s="10">
        <v>847329</v>
      </c>
      <c r="AB267" s="10"/>
      <c r="AC267" s="61">
        <v>833589</v>
      </c>
      <c r="AD267" s="59">
        <v>1021534</v>
      </c>
      <c r="AE267" s="35">
        <f t="shared" si="128"/>
        <v>1855123</v>
      </c>
      <c r="AF267" s="10"/>
      <c r="AG267" s="8">
        <v>119</v>
      </c>
      <c r="AH267" s="10">
        <v>17</v>
      </c>
      <c r="AI267" s="10">
        <v>148</v>
      </c>
      <c r="AJ267" s="5">
        <v>40</v>
      </c>
      <c r="AK267" s="10"/>
      <c r="AL267" s="8"/>
      <c r="AM267" s="10"/>
      <c r="AN267" s="35"/>
      <c r="AO267" s="10"/>
      <c r="AP267" s="10"/>
      <c r="AQ267" s="35"/>
      <c r="AR267" s="59"/>
      <c r="AS267" s="59"/>
      <c r="AT267" s="59"/>
      <c r="AU267" s="59"/>
      <c r="AV267" s="62"/>
      <c r="AW267" s="10"/>
      <c r="AX267" s="326"/>
      <c r="AY267" s="5"/>
      <c r="AZ267" s="10"/>
      <c r="BA267" s="8">
        <v>1630</v>
      </c>
      <c r="BB267" s="10">
        <v>27361383</v>
      </c>
      <c r="BC267" s="10">
        <v>19333120</v>
      </c>
      <c r="BD267" s="10"/>
      <c r="BE267" s="10">
        <v>65</v>
      </c>
      <c r="BF267" s="10">
        <v>5</v>
      </c>
      <c r="BG267" s="10">
        <v>10</v>
      </c>
      <c r="BH267" s="30"/>
      <c r="BI267" s="10">
        <v>1745941</v>
      </c>
      <c r="BJ267" s="338"/>
      <c r="BK267" s="338"/>
      <c r="BL267" s="303"/>
      <c r="BM267" s="5"/>
      <c r="BN267" s="10"/>
      <c r="BO267" s="8"/>
      <c r="BP267" s="5">
        <v>149</v>
      </c>
      <c r="BQ267" s="10"/>
      <c r="BR267" s="29">
        <v>1997</v>
      </c>
      <c r="BS267" s="64">
        <v>1996</v>
      </c>
      <c r="BT267" s="14">
        <v>15</v>
      </c>
      <c r="BU267" s="10"/>
      <c r="BV267" s="8"/>
      <c r="BW267" s="10"/>
      <c r="BX267" s="10"/>
      <c r="BY267" s="10"/>
      <c r="BZ267" s="10"/>
      <c r="CA267" s="10"/>
      <c r="CB267" s="10"/>
      <c r="CC267" s="221"/>
      <c r="CD267" s="10"/>
      <c r="CE267" s="317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317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38">
        <f t="shared" si="129"/>
        <v>0</v>
      </c>
      <c r="DW267" s="14" t="str">
        <f t="shared" si="130"/>
        <v>PROB</v>
      </c>
    </row>
    <row r="268" spans="1:127" customFormat="1">
      <c r="A268" s="210">
        <v>35292</v>
      </c>
      <c r="B268" s="211"/>
      <c r="C268" s="8">
        <v>2</v>
      </c>
      <c r="D268" s="10">
        <v>13</v>
      </c>
      <c r="E268" s="10">
        <v>1</v>
      </c>
      <c r="F268" s="10">
        <v>1</v>
      </c>
      <c r="G268" s="10">
        <v>3</v>
      </c>
      <c r="H268" s="10">
        <v>0</v>
      </c>
      <c r="I268" s="10">
        <v>0</v>
      </c>
      <c r="J268" s="10">
        <v>5</v>
      </c>
      <c r="K268" s="59">
        <v>0</v>
      </c>
      <c r="L268" s="59">
        <v>0</v>
      </c>
      <c r="M268" s="59"/>
      <c r="N268" s="59"/>
      <c r="O268" s="10">
        <v>33</v>
      </c>
      <c r="P268" s="10">
        <v>1</v>
      </c>
      <c r="Q268" s="10">
        <v>0</v>
      </c>
      <c r="R268" s="10">
        <v>0</v>
      </c>
      <c r="S268" s="35">
        <f t="shared" si="127"/>
        <v>59</v>
      </c>
      <c r="T268" s="10">
        <v>6</v>
      </c>
      <c r="U268" s="10"/>
      <c r="V268" s="10"/>
      <c r="W268" s="10">
        <v>0</v>
      </c>
      <c r="X268" s="5">
        <v>0</v>
      </c>
      <c r="Y268" s="10"/>
      <c r="Z268" s="8">
        <v>1322793</v>
      </c>
      <c r="AA268" s="10">
        <v>874237</v>
      </c>
      <c r="AB268" s="10"/>
      <c r="AC268" s="61">
        <v>804243</v>
      </c>
      <c r="AD268" s="59">
        <v>1562057</v>
      </c>
      <c r="AE268" s="35">
        <f t="shared" si="128"/>
        <v>2366300</v>
      </c>
      <c r="AF268" s="10"/>
      <c r="AG268" s="8">
        <v>70</v>
      </c>
      <c r="AH268" s="10">
        <v>53</v>
      </c>
      <c r="AI268" s="10">
        <v>138</v>
      </c>
      <c r="AJ268" s="5">
        <v>32</v>
      </c>
      <c r="AK268" s="10"/>
      <c r="AL268" s="8"/>
      <c r="AM268" s="10"/>
      <c r="AN268" s="35"/>
      <c r="AO268" s="10"/>
      <c r="AP268" s="10"/>
      <c r="AQ268" s="35"/>
      <c r="AR268" s="59"/>
      <c r="AS268" s="59"/>
      <c r="AT268" s="59"/>
      <c r="AU268" s="59"/>
      <c r="AV268" s="62"/>
      <c r="AW268" s="10"/>
      <c r="AX268" s="326"/>
      <c r="AY268" s="5"/>
      <c r="AZ268" s="10"/>
      <c r="BA268" s="8"/>
      <c r="BB268" s="10"/>
      <c r="BC268" s="10"/>
      <c r="BD268" s="10"/>
      <c r="BE268" s="10"/>
      <c r="BF268" s="10"/>
      <c r="BG268" s="10"/>
      <c r="BH268" s="30"/>
      <c r="BI268" s="10"/>
      <c r="BJ268" s="338"/>
      <c r="BK268" s="338"/>
      <c r="BL268" s="303"/>
      <c r="BM268" s="5"/>
      <c r="BN268" s="10"/>
      <c r="BO268" s="8"/>
      <c r="BP268" s="5"/>
      <c r="BQ268" s="10"/>
      <c r="BR268" s="29">
        <v>1997</v>
      </c>
      <c r="BS268" s="64">
        <v>1996</v>
      </c>
      <c r="BT268" s="14">
        <v>16</v>
      </c>
      <c r="BU268" s="10"/>
      <c r="BV268" s="8"/>
      <c r="BW268" s="10"/>
      <c r="BX268" s="10"/>
      <c r="BY268" s="10"/>
      <c r="BZ268" s="10"/>
      <c r="CA268" s="10"/>
      <c r="CB268" s="10"/>
      <c r="CC268" s="221"/>
      <c r="CD268" s="10"/>
      <c r="CE268" s="317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317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38">
        <f t="shared" si="129"/>
        <v>0</v>
      </c>
      <c r="DW268" s="14" t="str">
        <f t="shared" si="130"/>
        <v>PROB</v>
      </c>
    </row>
    <row r="269" spans="1:127" customFormat="1">
      <c r="A269" s="210">
        <v>35309</v>
      </c>
      <c r="B269" s="211"/>
      <c r="C269" s="8">
        <v>6</v>
      </c>
      <c r="D269" s="10">
        <v>10</v>
      </c>
      <c r="E269" s="10">
        <v>2</v>
      </c>
      <c r="F269" s="10">
        <v>0</v>
      </c>
      <c r="G269" s="10">
        <v>1</v>
      </c>
      <c r="H269" s="10">
        <v>0</v>
      </c>
      <c r="I269" s="10">
        <v>0</v>
      </c>
      <c r="J269" s="10">
        <v>9</v>
      </c>
      <c r="K269" s="59">
        <v>0</v>
      </c>
      <c r="L269" s="59">
        <v>0</v>
      </c>
      <c r="M269" s="59"/>
      <c r="N269" s="59"/>
      <c r="O269" s="10">
        <v>11</v>
      </c>
      <c r="P269" s="10">
        <v>0</v>
      </c>
      <c r="Q269" s="10">
        <v>0</v>
      </c>
      <c r="R269" s="10">
        <v>0</v>
      </c>
      <c r="S269" s="35">
        <f t="shared" si="127"/>
        <v>39</v>
      </c>
      <c r="T269" s="10">
        <v>6</v>
      </c>
      <c r="U269" s="10"/>
      <c r="V269" s="10"/>
      <c r="W269" s="10">
        <v>0</v>
      </c>
      <c r="X269" s="5">
        <v>0</v>
      </c>
      <c r="Y269" s="10"/>
      <c r="Z269" s="8">
        <v>1353392</v>
      </c>
      <c r="AA269" s="10">
        <v>649094</v>
      </c>
      <c r="AB269" s="10"/>
      <c r="AC269" s="61">
        <v>566575</v>
      </c>
      <c r="AD269" s="59">
        <v>990417</v>
      </c>
      <c r="AE269" s="35">
        <f t="shared" si="128"/>
        <v>1556992</v>
      </c>
      <c r="AF269" s="10"/>
      <c r="AG269" s="8">
        <v>72</v>
      </c>
      <c r="AH269" s="10">
        <v>54</v>
      </c>
      <c r="AI269" s="10">
        <v>138</v>
      </c>
      <c r="AJ269" s="5">
        <v>32</v>
      </c>
      <c r="AK269" s="10"/>
      <c r="AL269" s="8"/>
      <c r="AM269" s="10"/>
      <c r="AN269" s="35"/>
      <c r="AO269" s="10"/>
      <c r="AP269" s="10"/>
      <c r="AQ269" s="35"/>
      <c r="AR269" s="59"/>
      <c r="AS269" s="59"/>
      <c r="AT269" s="59"/>
      <c r="AU269" s="59"/>
      <c r="AV269" s="62"/>
      <c r="AW269" s="10"/>
      <c r="AX269" s="326"/>
      <c r="AY269" s="5"/>
      <c r="AZ269" s="10"/>
      <c r="BA269" s="8">
        <v>1629</v>
      </c>
      <c r="BB269" s="10">
        <v>27262374</v>
      </c>
      <c r="BC269" s="10">
        <v>19288064</v>
      </c>
      <c r="BD269" s="10"/>
      <c r="BE269" s="10">
        <v>51</v>
      </c>
      <c r="BF269" s="10">
        <v>1</v>
      </c>
      <c r="BG269" s="10">
        <v>2</v>
      </c>
      <c r="BH269" s="30"/>
      <c r="BI269" s="10">
        <v>1808826</v>
      </c>
      <c r="BJ269" s="338"/>
      <c r="BK269" s="338"/>
      <c r="BL269" s="303"/>
      <c r="BM269" s="5"/>
      <c r="BN269" s="10"/>
      <c r="BO269" s="8"/>
      <c r="BP269" s="5"/>
      <c r="BQ269" s="10"/>
      <c r="BR269" s="29">
        <v>1997</v>
      </c>
      <c r="BS269" s="64">
        <v>1996</v>
      </c>
      <c r="BT269" s="14">
        <v>17</v>
      </c>
      <c r="BU269" s="10"/>
      <c r="BV269" s="8"/>
      <c r="BW269" s="10"/>
      <c r="BX269" s="10"/>
      <c r="BY269" s="10"/>
      <c r="BZ269" s="10"/>
      <c r="CA269" s="10"/>
      <c r="CB269" s="10"/>
      <c r="CC269" s="221"/>
      <c r="CD269" s="10"/>
      <c r="CE269" s="317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317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38">
        <f t="shared" si="129"/>
        <v>0</v>
      </c>
      <c r="DW269" s="14" t="str">
        <f t="shared" si="130"/>
        <v>PROB</v>
      </c>
    </row>
    <row r="270" spans="1:127" customFormat="1">
      <c r="A270" s="210">
        <v>35323</v>
      </c>
      <c r="B270" s="211"/>
      <c r="C270" s="8">
        <v>1</v>
      </c>
      <c r="D270" s="10">
        <v>18</v>
      </c>
      <c r="E270" s="10">
        <v>1</v>
      </c>
      <c r="F270" s="10">
        <v>0</v>
      </c>
      <c r="G270" s="10">
        <v>1</v>
      </c>
      <c r="H270" s="10">
        <v>0</v>
      </c>
      <c r="I270" s="10">
        <v>0</v>
      </c>
      <c r="J270" s="10">
        <v>9</v>
      </c>
      <c r="K270" s="59">
        <v>0</v>
      </c>
      <c r="L270" s="59">
        <v>0</v>
      </c>
      <c r="M270" s="59"/>
      <c r="N270" s="59"/>
      <c r="O270" s="10">
        <v>9</v>
      </c>
      <c r="P270" s="10">
        <v>0</v>
      </c>
      <c r="Q270" s="10">
        <v>0</v>
      </c>
      <c r="R270" s="10">
        <v>0</v>
      </c>
      <c r="S270" s="35">
        <f t="shared" si="127"/>
        <v>39</v>
      </c>
      <c r="T270" s="10">
        <v>1</v>
      </c>
      <c r="U270" s="10"/>
      <c r="V270" s="10"/>
      <c r="W270" s="10">
        <v>0</v>
      </c>
      <c r="X270" s="5">
        <v>0</v>
      </c>
      <c r="Y270" s="10"/>
      <c r="Z270" s="8">
        <v>1326416</v>
      </c>
      <c r="AA270" s="10">
        <v>754077</v>
      </c>
      <c r="AB270" s="10"/>
      <c r="AC270" s="61">
        <v>578371</v>
      </c>
      <c r="AD270" s="59">
        <v>868984</v>
      </c>
      <c r="AE270" s="35">
        <f t="shared" si="128"/>
        <v>1447355</v>
      </c>
      <c r="AF270" s="10"/>
      <c r="AG270" s="8">
        <v>52</v>
      </c>
      <c r="AH270" s="10">
        <v>61</v>
      </c>
      <c r="AI270" s="10">
        <v>130</v>
      </c>
      <c r="AJ270" s="5">
        <v>32</v>
      </c>
      <c r="AK270" s="10"/>
      <c r="AL270" s="8">
        <v>31</v>
      </c>
      <c r="AM270" s="10">
        <v>124</v>
      </c>
      <c r="AN270" s="35">
        <f>SUM(AL270:AM270)</f>
        <v>155</v>
      </c>
      <c r="AO270" s="10">
        <v>176</v>
      </c>
      <c r="AP270" s="10">
        <v>19</v>
      </c>
      <c r="AQ270" s="35">
        <f>SUM(AO270:AP270)</f>
        <v>195</v>
      </c>
      <c r="AR270" s="59"/>
      <c r="AS270" s="59"/>
      <c r="AT270" s="59"/>
      <c r="AU270" s="59"/>
      <c r="AV270" s="62"/>
      <c r="AW270" s="10"/>
      <c r="AX270" s="326"/>
      <c r="AY270" s="5"/>
      <c r="AZ270" s="10"/>
      <c r="BA270" s="8"/>
      <c r="BB270" s="10"/>
      <c r="BC270" s="10"/>
      <c r="BD270" s="10"/>
      <c r="BE270" s="10"/>
      <c r="BF270" s="10"/>
      <c r="BG270" s="10"/>
      <c r="BH270" s="30"/>
      <c r="BI270" s="10"/>
      <c r="BJ270" s="338"/>
      <c r="BK270" s="338"/>
      <c r="BL270" s="303"/>
      <c r="BM270" s="5"/>
      <c r="BN270" s="10"/>
      <c r="BO270" s="8"/>
      <c r="BP270" s="5"/>
      <c r="BQ270" s="10"/>
      <c r="BR270" s="29">
        <v>1997</v>
      </c>
      <c r="BS270" s="64">
        <v>1996</v>
      </c>
      <c r="BT270" s="14">
        <v>18</v>
      </c>
      <c r="BU270" s="10"/>
      <c r="BV270" s="8"/>
      <c r="BW270" s="10"/>
      <c r="BX270" s="10"/>
      <c r="BY270" s="10"/>
      <c r="BZ270" s="10"/>
      <c r="CA270" s="10"/>
      <c r="CB270" s="10"/>
      <c r="CC270" s="221"/>
      <c r="CD270" s="10"/>
      <c r="CE270" s="317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317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38">
        <f t="shared" si="129"/>
        <v>0</v>
      </c>
      <c r="DW270" s="14" t="str">
        <f t="shared" si="130"/>
        <v>PROB</v>
      </c>
    </row>
    <row r="271" spans="1:127" customFormat="1">
      <c r="A271" s="210">
        <v>35339</v>
      </c>
      <c r="B271" s="211"/>
      <c r="C271" s="8">
        <v>1</v>
      </c>
      <c r="D271" s="10">
        <v>13</v>
      </c>
      <c r="E271" s="10">
        <v>1</v>
      </c>
      <c r="F271" s="10">
        <v>0</v>
      </c>
      <c r="G271" s="10">
        <v>3</v>
      </c>
      <c r="H271" s="10">
        <v>2</v>
      </c>
      <c r="I271" s="10">
        <v>1</v>
      </c>
      <c r="J271" s="10">
        <v>5</v>
      </c>
      <c r="K271" s="59">
        <v>0</v>
      </c>
      <c r="L271" s="59">
        <v>0</v>
      </c>
      <c r="M271" s="59"/>
      <c r="N271" s="59"/>
      <c r="O271" s="10">
        <v>6</v>
      </c>
      <c r="P271" s="10">
        <v>0</v>
      </c>
      <c r="Q271" s="10">
        <v>0</v>
      </c>
      <c r="R271" s="10">
        <v>0</v>
      </c>
      <c r="S271" s="35">
        <f t="shared" si="127"/>
        <v>32</v>
      </c>
      <c r="T271" s="10">
        <v>2</v>
      </c>
      <c r="U271" s="10"/>
      <c r="V271" s="10"/>
      <c r="W271" s="10">
        <v>0</v>
      </c>
      <c r="X271" s="5">
        <v>0</v>
      </c>
      <c r="Y271" s="10"/>
      <c r="Z271" s="8">
        <v>1603471</v>
      </c>
      <c r="AA271" s="10">
        <v>664026</v>
      </c>
      <c r="AB271" s="10"/>
      <c r="AC271" s="61">
        <v>588898</v>
      </c>
      <c r="AD271" s="59">
        <v>887638</v>
      </c>
      <c r="AE271" s="35">
        <f t="shared" si="128"/>
        <v>1476536</v>
      </c>
      <c r="AF271" s="10"/>
      <c r="AG271" s="8">
        <v>85</v>
      </c>
      <c r="AH271" s="10">
        <v>65</v>
      </c>
      <c r="AI271" s="10">
        <v>168</v>
      </c>
      <c r="AJ271" s="5">
        <v>40</v>
      </c>
      <c r="AK271" s="10"/>
      <c r="AL271" s="8"/>
      <c r="AM271" s="10"/>
      <c r="AN271" s="35"/>
      <c r="AO271" s="10"/>
      <c r="AP271" s="10"/>
      <c r="AQ271" s="35"/>
      <c r="AR271" s="59"/>
      <c r="AS271" s="59"/>
      <c r="AT271" s="59"/>
      <c r="AU271" s="59"/>
      <c r="AV271" s="62"/>
      <c r="AW271" s="10"/>
      <c r="AX271" s="326"/>
      <c r="AY271" s="5"/>
      <c r="AZ271" s="10"/>
      <c r="BA271" s="8">
        <v>1634</v>
      </c>
      <c r="BB271" s="10">
        <v>27312324</v>
      </c>
      <c r="BC271" s="10">
        <v>19318784</v>
      </c>
      <c r="BD271" s="10"/>
      <c r="BE271" s="10">
        <v>82</v>
      </c>
      <c r="BF271" s="10">
        <v>8</v>
      </c>
      <c r="BG271" s="10">
        <v>3</v>
      </c>
      <c r="BH271" s="30"/>
      <c r="BI271" s="10">
        <v>1661445</v>
      </c>
      <c r="BJ271" s="338"/>
      <c r="BK271" s="338"/>
      <c r="BL271" s="303"/>
      <c r="BM271" s="5"/>
      <c r="BN271" s="10"/>
      <c r="BO271" s="8"/>
      <c r="BP271" s="5">
        <v>149</v>
      </c>
      <c r="BQ271" s="10"/>
      <c r="BR271" s="29">
        <v>1997</v>
      </c>
      <c r="BS271" s="64">
        <v>1996</v>
      </c>
      <c r="BT271" s="14">
        <v>19</v>
      </c>
      <c r="BU271" s="10"/>
      <c r="BV271" s="8"/>
      <c r="BW271" s="10"/>
      <c r="BX271" s="10"/>
      <c r="BY271" s="10"/>
      <c r="BZ271" s="10"/>
      <c r="CA271" s="10"/>
      <c r="CB271" s="10"/>
      <c r="CC271" s="221"/>
      <c r="CD271" s="10"/>
      <c r="CE271" s="317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317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38">
        <f t="shared" si="129"/>
        <v>0</v>
      </c>
      <c r="DW271" s="14" t="str">
        <f t="shared" si="130"/>
        <v>PROB</v>
      </c>
    </row>
    <row r="272" spans="1:127" customFormat="1">
      <c r="A272" s="210">
        <v>35353</v>
      </c>
      <c r="B272" s="211"/>
      <c r="C272" s="8">
        <v>2</v>
      </c>
      <c r="D272" s="10">
        <v>20</v>
      </c>
      <c r="E272" s="10">
        <v>3</v>
      </c>
      <c r="F272" s="10">
        <v>0</v>
      </c>
      <c r="G272" s="10">
        <v>3</v>
      </c>
      <c r="H272" s="10">
        <v>3</v>
      </c>
      <c r="I272" s="10">
        <v>0</v>
      </c>
      <c r="J272" s="10">
        <v>7</v>
      </c>
      <c r="K272" s="59">
        <v>0</v>
      </c>
      <c r="L272" s="59">
        <v>0</v>
      </c>
      <c r="M272" s="59"/>
      <c r="N272" s="59"/>
      <c r="O272" s="10">
        <v>5</v>
      </c>
      <c r="P272" s="10">
        <v>8</v>
      </c>
      <c r="Q272" s="10">
        <v>0</v>
      </c>
      <c r="R272" s="10">
        <v>0</v>
      </c>
      <c r="S272" s="35">
        <f t="shared" si="127"/>
        <v>51</v>
      </c>
      <c r="T272" s="10">
        <v>1</v>
      </c>
      <c r="U272" s="10"/>
      <c r="V272" s="10"/>
      <c r="W272" s="10">
        <v>0</v>
      </c>
      <c r="X272" s="5">
        <v>0</v>
      </c>
      <c r="Y272" s="10"/>
      <c r="Z272" s="8">
        <v>1636504</v>
      </c>
      <c r="AA272" s="10">
        <v>831433</v>
      </c>
      <c r="AB272" s="10"/>
      <c r="AC272" s="61">
        <v>560185</v>
      </c>
      <c r="AD272" s="59">
        <v>1213083</v>
      </c>
      <c r="AE272" s="35">
        <f t="shared" si="128"/>
        <v>1773268</v>
      </c>
      <c r="AF272" s="10"/>
      <c r="AG272" s="8">
        <v>72</v>
      </c>
      <c r="AH272" s="10">
        <v>71</v>
      </c>
      <c r="AI272" s="10">
        <v>158</v>
      </c>
      <c r="AJ272" s="5">
        <v>40</v>
      </c>
      <c r="AK272" s="10"/>
      <c r="AL272" s="8"/>
      <c r="AM272" s="10"/>
      <c r="AN272" s="35"/>
      <c r="AO272" s="10"/>
      <c r="AP272" s="10"/>
      <c r="AQ272" s="35"/>
      <c r="AR272" s="59"/>
      <c r="AS272" s="59"/>
      <c r="AT272" s="59"/>
      <c r="AU272" s="59"/>
      <c r="AV272" s="62"/>
      <c r="AW272" s="10"/>
      <c r="AX272" s="326"/>
      <c r="AY272" s="5"/>
      <c r="AZ272" s="10"/>
      <c r="BA272" s="8"/>
      <c r="BB272" s="10"/>
      <c r="BC272" s="10"/>
      <c r="BD272" s="10"/>
      <c r="BE272" s="10"/>
      <c r="BF272" s="10"/>
      <c r="BG272" s="10"/>
      <c r="BH272" s="30"/>
      <c r="BI272" s="10"/>
      <c r="BJ272" s="338"/>
      <c r="BK272" s="338"/>
      <c r="BL272" s="303"/>
      <c r="BM272" s="5"/>
      <c r="BN272" s="10"/>
      <c r="BO272" s="8"/>
      <c r="BP272" s="5"/>
      <c r="BQ272" s="10"/>
      <c r="BR272" s="29">
        <v>1997</v>
      </c>
      <c r="BS272" s="64">
        <v>1996</v>
      </c>
      <c r="BT272" s="14">
        <v>20</v>
      </c>
      <c r="BU272" s="10"/>
      <c r="BV272" s="8"/>
      <c r="BW272" s="10"/>
      <c r="BX272" s="10"/>
      <c r="BY272" s="10"/>
      <c r="BZ272" s="10"/>
      <c r="CA272" s="10"/>
      <c r="CB272" s="10"/>
      <c r="CC272" s="221"/>
      <c r="CD272" s="10"/>
      <c r="CE272" s="317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317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38">
        <f t="shared" si="129"/>
        <v>0</v>
      </c>
      <c r="DW272" s="14" t="str">
        <f t="shared" si="130"/>
        <v>PROB</v>
      </c>
    </row>
    <row r="273" spans="1:127" customFormat="1">
      <c r="A273" s="210">
        <v>35370</v>
      </c>
      <c r="B273" s="211"/>
      <c r="C273" s="8">
        <v>4</v>
      </c>
      <c r="D273" s="10">
        <v>26</v>
      </c>
      <c r="E273" s="10">
        <v>0</v>
      </c>
      <c r="F273" s="10">
        <v>0</v>
      </c>
      <c r="G273" s="10">
        <v>2</v>
      </c>
      <c r="H273" s="10">
        <v>1</v>
      </c>
      <c r="I273" s="10">
        <v>0</v>
      </c>
      <c r="J273" s="10">
        <v>5</v>
      </c>
      <c r="K273" s="59">
        <v>0</v>
      </c>
      <c r="L273" s="59">
        <v>0</v>
      </c>
      <c r="M273" s="59"/>
      <c r="N273" s="59"/>
      <c r="O273" s="10">
        <v>3</v>
      </c>
      <c r="P273" s="10">
        <v>0</v>
      </c>
      <c r="Q273" s="10">
        <v>0</v>
      </c>
      <c r="R273" s="10">
        <v>0</v>
      </c>
      <c r="S273" s="35">
        <f t="shared" si="127"/>
        <v>41</v>
      </c>
      <c r="T273" s="10">
        <v>2</v>
      </c>
      <c r="U273" s="10"/>
      <c r="V273" s="10"/>
      <c r="W273" s="10">
        <v>0</v>
      </c>
      <c r="X273" s="5">
        <v>0</v>
      </c>
      <c r="Y273" s="10"/>
      <c r="Z273" s="8">
        <v>1153218</v>
      </c>
      <c r="AA273" s="10">
        <v>705485</v>
      </c>
      <c r="AB273" s="10"/>
      <c r="AC273" s="61">
        <v>626241</v>
      </c>
      <c r="AD273" s="59">
        <v>1166919</v>
      </c>
      <c r="AE273" s="35">
        <f t="shared" si="128"/>
        <v>1793160</v>
      </c>
      <c r="AF273" s="10"/>
      <c r="AG273" s="8">
        <v>102</v>
      </c>
      <c r="AH273" s="10">
        <v>25</v>
      </c>
      <c r="AI273" s="10">
        <v>138</v>
      </c>
      <c r="AJ273" s="5">
        <v>44</v>
      </c>
      <c r="AK273" s="10"/>
      <c r="AL273" s="8"/>
      <c r="AM273" s="10"/>
      <c r="AN273" s="35"/>
      <c r="AO273" s="10"/>
      <c r="AP273" s="10"/>
      <c r="AQ273" s="35"/>
      <c r="AR273" s="59"/>
      <c r="AS273" s="59"/>
      <c r="AT273" s="59"/>
      <c r="AU273" s="59"/>
      <c r="AV273" s="62"/>
      <c r="AW273" s="10"/>
      <c r="AX273" s="326"/>
      <c r="AY273" s="5"/>
      <c r="AZ273" s="10"/>
      <c r="BA273" s="8">
        <v>1632</v>
      </c>
      <c r="BB273" s="10">
        <v>27192876</v>
      </c>
      <c r="BC273" s="10">
        <v>19224576</v>
      </c>
      <c r="BD273" s="10"/>
      <c r="BE273" s="10">
        <v>60</v>
      </c>
      <c r="BF273" s="10">
        <v>5</v>
      </c>
      <c r="BG273" s="10">
        <v>7</v>
      </c>
      <c r="BH273" s="30"/>
      <c r="BI273" s="10">
        <v>1688262</v>
      </c>
      <c r="BJ273" s="338"/>
      <c r="BK273" s="338"/>
      <c r="BL273" s="303"/>
      <c r="BM273" s="5"/>
      <c r="BN273" s="10"/>
      <c r="BO273" s="8"/>
      <c r="BP273" s="5">
        <v>149</v>
      </c>
      <c r="BQ273" s="10"/>
      <c r="BR273" s="29">
        <v>1997</v>
      </c>
      <c r="BS273" s="64">
        <v>1996</v>
      </c>
      <c r="BT273" s="14">
        <v>21</v>
      </c>
      <c r="BU273" s="10"/>
      <c r="BV273" s="8"/>
      <c r="BW273" s="10"/>
      <c r="BX273" s="10"/>
      <c r="BY273" s="10"/>
      <c r="BZ273" s="10"/>
      <c r="CA273" s="10"/>
      <c r="CB273" s="10"/>
      <c r="CC273" s="221"/>
      <c r="CD273" s="10"/>
      <c r="CE273" s="317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317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38">
        <f t="shared" si="129"/>
        <v>0</v>
      </c>
      <c r="DW273" s="14" t="str">
        <f t="shared" si="130"/>
        <v>PROB</v>
      </c>
    </row>
    <row r="274" spans="1:127" customFormat="1">
      <c r="A274" s="210">
        <v>35384</v>
      </c>
      <c r="B274" s="211"/>
      <c r="C274" s="8">
        <v>3</v>
      </c>
      <c r="D274" s="10">
        <v>35</v>
      </c>
      <c r="E274" s="10">
        <v>7</v>
      </c>
      <c r="F274" s="10">
        <v>2</v>
      </c>
      <c r="G274" s="10">
        <v>1</v>
      </c>
      <c r="H274" s="10">
        <v>1</v>
      </c>
      <c r="I274" s="10">
        <v>0</v>
      </c>
      <c r="J274" s="10">
        <v>12</v>
      </c>
      <c r="K274" s="59">
        <v>0</v>
      </c>
      <c r="L274" s="59">
        <v>0</v>
      </c>
      <c r="M274" s="59"/>
      <c r="N274" s="59"/>
      <c r="O274" s="10">
        <v>7</v>
      </c>
      <c r="P274" s="10">
        <v>0</v>
      </c>
      <c r="Q274" s="10">
        <v>0</v>
      </c>
      <c r="R274" s="10">
        <v>0</v>
      </c>
      <c r="S274" s="35">
        <f t="shared" si="127"/>
        <v>68</v>
      </c>
      <c r="T274" s="10">
        <v>15</v>
      </c>
      <c r="U274" s="10"/>
      <c r="V274" s="10"/>
      <c r="W274" s="10">
        <v>0</v>
      </c>
      <c r="X274" s="5">
        <v>0</v>
      </c>
      <c r="Y274" s="10"/>
      <c r="Z274" s="8">
        <v>1042146</v>
      </c>
      <c r="AA274" s="10">
        <v>1183033</v>
      </c>
      <c r="AB274" s="10"/>
      <c r="AC274" s="61">
        <v>1078589</v>
      </c>
      <c r="AD274" s="59">
        <v>1353763</v>
      </c>
      <c r="AE274" s="35">
        <f t="shared" si="128"/>
        <v>2432352</v>
      </c>
      <c r="AF274" s="10"/>
      <c r="AG274" s="8">
        <v>132</v>
      </c>
      <c r="AH274" s="10">
        <v>1</v>
      </c>
      <c r="AI274" s="10">
        <v>146</v>
      </c>
      <c r="AJ274" s="5">
        <v>52</v>
      </c>
      <c r="AK274" s="10"/>
      <c r="AL274" s="8"/>
      <c r="AM274" s="10"/>
      <c r="AN274" s="35"/>
      <c r="AO274" s="10"/>
      <c r="AP274" s="10"/>
      <c r="AQ274" s="35"/>
      <c r="AR274" s="59"/>
      <c r="AS274" s="59"/>
      <c r="AT274" s="59"/>
      <c r="AU274" s="59"/>
      <c r="AV274" s="62"/>
      <c r="AW274" s="10"/>
      <c r="AX274" s="326"/>
      <c r="AY274" s="5"/>
      <c r="AZ274" s="10"/>
      <c r="BA274" s="8"/>
      <c r="BB274" s="10"/>
      <c r="BC274" s="10"/>
      <c r="BD274" s="10"/>
      <c r="BE274" s="10"/>
      <c r="BF274" s="10"/>
      <c r="BG274" s="10"/>
      <c r="BH274" s="30"/>
      <c r="BI274" s="10"/>
      <c r="BJ274" s="338"/>
      <c r="BK274" s="338"/>
      <c r="BL274" s="303"/>
      <c r="BM274" s="5"/>
      <c r="BN274" s="10"/>
      <c r="BO274" s="8"/>
      <c r="BP274" s="5"/>
      <c r="BQ274" s="10"/>
      <c r="BR274" s="29">
        <v>1997</v>
      </c>
      <c r="BS274" s="64">
        <v>1996</v>
      </c>
      <c r="BT274" s="14">
        <v>22</v>
      </c>
      <c r="BU274" s="10"/>
      <c r="BV274" s="8"/>
      <c r="BW274" s="10"/>
      <c r="BX274" s="10"/>
      <c r="BY274" s="10"/>
      <c r="BZ274" s="10"/>
      <c r="CA274" s="10"/>
      <c r="CB274" s="10"/>
      <c r="CC274" s="221"/>
      <c r="CD274" s="10"/>
      <c r="CE274" s="317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317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38">
        <f t="shared" si="129"/>
        <v>0</v>
      </c>
      <c r="DW274" s="14" t="str">
        <f t="shared" si="130"/>
        <v>PROB</v>
      </c>
    </row>
    <row r="275" spans="1:127" customFormat="1">
      <c r="A275" s="210">
        <v>35400</v>
      </c>
      <c r="B275" s="211"/>
      <c r="C275" s="8">
        <v>1</v>
      </c>
      <c r="D275" s="10">
        <v>41</v>
      </c>
      <c r="E275" s="10">
        <v>0</v>
      </c>
      <c r="F275" s="10">
        <v>1</v>
      </c>
      <c r="G275" s="10">
        <v>3</v>
      </c>
      <c r="H275" s="10">
        <v>2</v>
      </c>
      <c r="I275" s="10">
        <v>0</v>
      </c>
      <c r="J275" s="10">
        <v>13</v>
      </c>
      <c r="K275" s="59">
        <v>0</v>
      </c>
      <c r="L275" s="59">
        <v>0</v>
      </c>
      <c r="M275" s="59"/>
      <c r="N275" s="59"/>
      <c r="O275" s="10">
        <v>10</v>
      </c>
      <c r="P275" s="10">
        <v>2</v>
      </c>
      <c r="Q275" s="10">
        <v>0</v>
      </c>
      <c r="R275" s="10">
        <v>0</v>
      </c>
      <c r="S275" s="35">
        <f t="shared" si="127"/>
        <v>73</v>
      </c>
      <c r="T275" s="10">
        <v>1</v>
      </c>
      <c r="U275" s="10"/>
      <c r="V275" s="10"/>
      <c r="W275" s="10">
        <v>0</v>
      </c>
      <c r="X275" s="5">
        <v>1</v>
      </c>
      <c r="Y275" s="10"/>
      <c r="Z275" s="8">
        <v>1586641</v>
      </c>
      <c r="AA275" s="10">
        <v>1415464</v>
      </c>
      <c r="AB275" s="10"/>
      <c r="AC275" s="61">
        <v>1441917</v>
      </c>
      <c r="AD275" s="59">
        <v>1639582</v>
      </c>
      <c r="AE275" s="35">
        <f t="shared" si="128"/>
        <v>3081499</v>
      </c>
      <c r="AF275" s="10"/>
      <c r="AG275" s="8">
        <v>157</v>
      </c>
      <c r="AH275" s="10">
        <v>29</v>
      </c>
      <c r="AI275" s="10">
        <v>202</v>
      </c>
      <c r="AJ275" s="5">
        <v>56</v>
      </c>
      <c r="AK275" s="10"/>
      <c r="AL275" s="8"/>
      <c r="AM275" s="10"/>
      <c r="AN275" s="35"/>
      <c r="AO275" s="10"/>
      <c r="AP275" s="10"/>
      <c r="AQ275" s="35"/>
      <c r="AR275" s="59"/>
      <c r="AS275" s="59"/>
      <c r="AT275" s="59"/>
      <c r="AU275" s="59"/>
      <c r="AV275" s="62"/>
      <c r="AW275" s="10"/>
      <c r="AX275" s="326"/>
      <c r="AY275" s="5"/>
      <c r="AZ275" s="10"/>
      <c r="BA275" s="8">
        <v>1633</v>
      </c>
      <c r="BB275" s="10">
        <v>27229318</v>
      </c>
      <c r="BC275" s="10">
        <v>19253248</v>
      </c>
      <c r="BD275" s="10"/>
      <c r="BE275" s="10">
        <v>46</v>
      </c>
      <c r="BF275" s="10">
        <v>4</v>
      </c>
      <c r="BG275" s="10">
        <v>3</v>
      </c>
      <c r="BH275" s="30"/>
      <c r="BI275" s="10">
        <v>1753936</v>
      </c>
      <c r="BJ275" s="338"/>
      <c r="BK275" s="338"/>
      <c r="BL275" s="303"/>
      <c r="BM275" s="5"/>
      <c r="BN275" s="10"/>
      <c r="BO275" s="8"/>
      <c r="BP275" s="5">
        <v>149</v>
      </c>
      <c r="BQ275" s="10"/>
      <c r="BR275" s="29">
        <v>1997</v>
      </c>
      <c r="BS275" s="64">
        <v>1996</v>
      </c>
      <c r="BT275" s="14">
        <v>23</v>
      </c>
      <c r="BU275" s="10"/>
      <c r="BV275" s="8"/>
      <c r="BW275" s="10"/>
      <c r="BX275" s="10"/>
      <c r="BY275" s="10"/>
      <c r="BZ275" s="10"/>
      <c r="CA275" s="10"/>
      <c r="CB275" s="10"/>
      <c r="CC275" s="221"/>
      <c r="CD275" s="10"/>
      <c r="CE275" s="317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317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38">
        <f t="shared" si="129"/>
        <v>0</v>
      </c>
      <c r="DW275" s="14" t="str">
        <f t="shared" si="130"/>
        <v>PROB</v>
      </c>
    </row>
    <row r="276" spans="1:127" customFormat="1">
      <c r="A276" s="210">
        <v>35414</v>
      </c>
      <c r="B276" s="211"/>
      <c r="C276" s="8">
        <v>2</v>
      </c>
      <c r="D276" s="10">
        <v>10</v>
      </c>
      <c r="E276" s="10">
        <v>0</v>
      </c>
      <c r="F276" s="10">
        <v>0</v>
      </c>
      <c r="G276" s="10">
        <v>2</v>
      </c>
      <c r="H276" s="10">
        <v>4</v>
      </c>
      <c r="I276" s="10">
        <v>0</v>
      </c>
      <c r="J276" s="10">
        <v>2</v>
      </c>
      <c r="K276" s="59">
        <v>0</v>
      </c>
      <c r="L276" s="59">
        <v>0</v>
      </c>
      <c r="M276" s="59"/>
      <c r="N276" s="59"/>
      <c r="O276" s="10">
        <v>9</v>
      </c>
      <c r="P276" s="10">
        <v>0</v>
      </c>
      <c r="Q276" s="10">
        <v>1</v>
      </c>
      <c r="R276" s="10">
        <v>0</v>
      </c>
      <c r="S276" s="35">
        <f t="shared" si="127"/>
        <v>30</v>
      </c>
      <c r="T276" s="10">
        <v>5</v>
      </c>
      <c r="U276" s="10"/>
      <c r="V276" s="10"/>
      <c r="W276" s="10">
        <v>0</v>
      </c>
      <c r="X276" s="5">
        <v>1</v>
      </c>
      <c r="Y276" s="10"/>
      <c r="Z276" s="8">
        <v>1723250</v>
      </c>
      <c r="AA276" s="10">
        <v>363459</v>
      </c>
      <c r="AB276" s="10"/>
      <c r="AC276" s="61">
        <v>323677</v>
      </c>
      <c r="AD276" s="59">
        <v>886423</v>
      </c>
      <c r="AE276" s="35">
        <f t="shared" si="128"/>
        <v>1210100</v>
      </c>
      <c r="AF276" s="10"/>
      <c r="AG276" s="8">
        <v>35</v>
      </c>
      <c r="AH276" s="10">
        <v>88</v>
      </c>
      <c r="AI276" s="10">
        <v>144</v>
      </c>
      <c r="AJ276" s="5">
        <v>28</v>
      </c>
      <c r="AK276" s="10"/>
      <c r="AL276" s="8"/>
      <c r="AM276" s="10"/>
      <c r="AN276" s="35"/>
      <c r="AO276" s="10"/>
      <c r="AP276" s="10"/>
      <c r="AQ276" s="35"/>
      <c r="AR276" s="59"/>
      <c r="AS276" s="59"/>
      <c r="AT276" s="59"/>
      <c r="AU276" s="59"/>
      <c r="AV276" s="62"/>
      <c r="AW276" s="10"/>
      <c r="AX276" s="326"/>
      <c r="AY276" s="5"/>
      <c r="AZ276" s="10"/>
      <c r="BA276" s="8"/>
      <c r="BB276" s="10"/>
      <c r="BC276" s="10"/>
      <c r="BD276" s="10"/>
      <c r="BE276" s="10"/>
      <c r="BF276" s="10"/>
      <c r="BG276" s="10"/>
      <c r="BH276" s="30"/>
      <c r="BI276" s="10"/>
      <c r="BJ276" s="338"/>
      <c r="BK276" s="338"/>
      <c r="BL276" s="303"/>
      <c r="BM276" s="5"/>
      <c r="BN276" s="10"/>
      <c r="BO276" s="8"/>
      <c r="BP276" s="5"/>
      <c r="BQ276" s="10"/>
      <c r="BR276" s="29">
        <v>1997</v>
      </c>
      <c r="BS276" s="64">
        <v>1996</v>
      </c>
      <c r="BT276" s="14">
        <v>24</v>
      </c>
      <c r="BU276" s="10"/>
      <c r="BV276" s="8"/>
      <c r="BW276" s="10"/>
      <c r="BX276" s="10"/>
      <c r="BY276" s="10"/>
      <c r="BZ276" s="10"/>
      <c r="CA276" s="10"/>
      <c r="CB276" s="10"/>
      <c r="CC276" s="221"/>
      <c r="CD276" s="10"/>
      <c r="CE276" s="317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317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38">
        <f t="shared" si="129"/>
        <v>0</v>
      </c>
      <c r="DW276" s="14" t="str">
        <f t="shared" si="130"/>
        <v>PROB</v>
      </c>
    </row>
    <row r="277" spans="1:127" customFormat="1">
      <c r="A277" s="210">
        <v>35431</v>
      </c>
      <c r="B277" s="211"/>
      <c r="C277" s="8">
        <v>1</v>
      </c>
      <c r="D277" s="10">
        <v>10</v>
      </c>
      <c r="E277" s="10">
        <v>16</v>
      </c>
      <c r="F277" s="10">
        <v>1</v>
      </c>
      <c r="G277" s="10">
        <v>2</v>
      </c>
      <c r="H277" s="10">
        <v>1</v>
      </c>
      <c r="I277" s="10">
        <v>0</v>
      </c>
      <c r="J277" s="10">
        <v>9</v>
      </c>
      <c r="K277" s="59">
        <v>0</v>
      </c>
      <c r="L277" s="59">
        <v>0</v>
      </c>
      <c r="M277" s="59"/>
      <c r="N277" s="59"/>
      <c r="O277" s="10">
        <v>13</v>
      </c>
      <c r="P277" s="10">
        <v>2</v>
      </c>
      <c r="Q277" s="10">
        <v>0</v>
      </c>
      <c r="R277" s="10">
        <v>0</v>
      </c>
      <c r="S277" s="35">
        <f t="shared" si="127"/>
        <v>55</v>
      </c>
      <c r="T277" s="10">
        <v>1</v>
      </c>
      <c r="U277" s="10"/>
      <c r="V277" s="10"/>
      <c r="W277" s="10">
        <v>0</v>
      </c>
      <c r="X277" s="5">
        <v>2</v>
      </c>
      <c r="Y277" s="10"/>
      <c r="Z277" s="8">
        <v>1041587</v>
      </c>
      <c r="AA277" s="10">
        <v>729802</v>
      </c>
      <c r="AB277" s="10"/>
      <c r="AC277" s="61">
        <v>606317</v>
      </c>
      <c r="AD277" s="59">
        <v>1613383</v>
      </c>
      <c r="AE277" s="35">
        <f t="shared" si="128"/>
        <v>2219700</v>
      </c>
      <c r="AF277" s="10"/>
      <c r="AG277" s="8">
        <v>64</v>
      </c>
      <c r="AH277" s="10">
        <v>32</v>
      </c>
      <c r="AI277" s="10">
        <v>122</v>
      </c>
      <c r="AJ277" s="5">
        <v>52</v>
      </c>
      <c r="AK277" s="10"/>
      <c r="AL277" s="8">
        <v>32</v>
      </c>
      <c r="AM277" s="59">
        <v>131</v>
      </c>
      <c r="AN277" s="35">
        <f>SUM(AL277:AM277)</f>
        <v>163</v>
      </c>
      <c r="AO277" s="59">
        <v>161</v>
      </c>
      <c r="AP277" s="59">
        <v>19</v>
      </c>
      <c r="AQ277" s="35">
        <f>SUM(AO277:AP277)</f>
        <v>180</v>
      </c>
      <c r="AR277" s="59"/>
      <c r="AS277" s="59"/>
      <c r="AT277" s="59"/>
      <c r="AU277" s="59"/>
      <c r="AV277" s="62"/>
      <c r="AW277" s="10"/>
      <c r="AX277" s="326"/>
      <c r="AY277" s="5"/>
      <c r="AZ277" s="10"/>
      <c r="BA277" s="8">
        <v>1629</v>
      </c>
      <c r="BB277" s="10">
        <v>27280575</v>
      </c>
      <c r="BC277" s="10">
        <v>19312640</v>
      </c>
      <c r="BD277" s="10"/>
      <c r="BE277" s="10">
        <v>83</v>
      </c>
      <c r="BF277" s="10">
        <v>4</v>
      </c>
      <c r="BG277" s="10">
        <v>8</v>
      </c>
      <c r="BH277" s="30"/>
      <c r="BI277" s="10">
        <v>2381438</v>
      </c>
      <c r="BJ277" s="338"/>
      <c r="BK277" s="338"/>
      <c r="BL277" s="303"/>
      <c r="BM277" s="5"/>
      <c r="BN277" s="10"/>
      <c r="BO277" s="8"/>
      <c r="BP277" s="5">
        <v>149</v>
      </c>
      <c r="BQ277" s="10"/>
      <c r="BR277" s="29">
        <v>1997</v>
      </c>
      <c r="BS277" s="64">
        <v>1997</v>
      </c>
      <c r="BT277" s="14">
        <v>1</v>
      </c>
      <c r="BU277" s="10"/>
      <c r="BV277" s="8"/>
      <c r="BW277" s="10"/>
      <c r="BX277" s="10"/>
      <c r="BY277" s="10"/>
      <c r="BZ277" s="10"/>
      <c r="CA277" s="10"/>
      <c r="CB277" s="10"/>
      <c r="CC277" s="221"/>
      <c r="CD277" s="10"/>
      <c r="CE277" s="317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317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38">
        <f t="shared" si="129"/>
        <v>0</v>
      </c>
      <c r="DW277" s="14" t="str">
        <f t="shared" si="130"/>
        <v>PROB</v>
      </c>
    </row>
    <row r="278" spans="1:127" customFormat="1">
      <c r="A278" s="210">
        <v>35445</v>
      </c>
      <c r="B278" s="211"/>
      <c r="C278" s="8">
        <v>2</v>
      </c>
      <c r="D278" s="10">
        <v>22</v>
      </c>
      <c r="E278" s="10">
        <v>2</v>
      </c>
      <c r="F278" s="10">
        <v>1</v>
      </c>
      <c r="G278" s="10">
        <v>2</v>
      </c>
      <c r="H278" s="10">
        <v>4</v>
      </c>
      <c r="I278" s="10">
        <v>0</v>
      </c>
      <c r="J278" s="10">
        <v>16</v>
      </c>
      <c r="K278" s="59">
        <v>0</v>
      </c>
      <c r="L278" s="59">
        <v>0</v>
      </c>
      <c r="M278" s="59"/>
      <c r="N278" s="59"/>
      <c r="O278" s="10">
        <v>28</v>
      </c>
      <c r="P278" s="10">
        <v>0</v>
      </c>
      <c r="Q278" s="10">
        <v>0</v>
      </c>
      <c r="R278" s="10">
        <v>0</v>
      </c>
      <c r="S278" s="35">
        <f t="shared" si="127"/>
        <v>77</v>
      </c>
      <c r="T278" s="10">
        <v>7</v>
      </c>
      <c r="U278" s="10"/>
      <c r="V278" s="10"/>
      <c r="W278" s="10">
        <v>0</v>
      </c>
      <c r="X278" s="5">
        <v>0</v>
      </c>
      <c r="Y278" s="10"/>
      <c r="Z278" s="8">
        <v>1977876</v>
      </c>
      <c r="AA278" s="10">
        <v>927596</v>
      </c>
      <c r="AB278" s="10"/>
      <c r="AC278" s="61">
        <v>635014</v>
      </c>
      <c r="AD278" s="59">
        <v>1690013</v>
      </c>
      <c r="AE278" s="35">
        <f t="shared" si="128"/>
        <v>2325027</v>
      </c>
      <c r="AF278" s="10"/>
      <c r="AG278" s="8">
        <v>59</v>
      </c>
      <c r="AH278" s="10">
        <v>98</v>
      </c>
      <c r="AI278" s="10">
        <v>168</v>
      </c>
      <c r="AJ278" s="5">
        <v>48</v>
      </c>
      <c r="AK278" s="10"/>
      <c r="AL278" s="8"/>
      <c r="AM278" s="10"/>
      <c r="AN278" s="35"/>
      <c r="AO278" s="10"/>
      <c r="AP278" s="10"/>
      <c r="AQ278" s="35"/>
      <c r="AR278" s="59"/>
      <c r="AS278" s="59"/>
      <c r="AT278" s="59"/>
      <c r="AU278" s="59"/>
      <c r="AV278" s="62"/>
      <c r="AW278" s="10"/>
      <c r="AX278" s="326"/>
      <c r="AY278" s="5"/>
      <c r="AZ278" s="10"/>
      <c r="BA278" s="8"/>
      <c r="BB278" s="10"/>
      <c r="BC278" s="10"/>
      <c r="BD278" s="10"/>
      <c r="BE278" s="10"/>
      <c r="BF278" s="10"/>
      <c r="BG278" s="10"/>
      <c r="BH278" s="30"/>
      <c r="BI278" s="10"/>
      <c r="BJ278" s="338"/>
      <c r="BK278" s="338"/>
      <c r="BL278" s="303"/>
      <c r="BM278" s="5"/>
      <c r="BN278" s="10"/>
      <c r="BO278" s="8"/>
      <c r="BP278" s="5"/>
      <c r="BQ278" s="10"/>
      <c r="BR278" s="29">
        <v>1997</v>
      </c>
      <c r="BS278" s="64">
        <v>1997</v>
      </c>
      <c r="BT278" s="14">
        <v>2</v>
      </c>
      <c r="BU278" s="10"/>
      <c r="BV278" s="8"/>
      <c r="BW278" s="10"/>
      <c r="BX278" s="10"/>
      <c r="BY278" s="10"/>
      <c r="BZ278" s="10"/>
      <c r="CA278" s="10"/>
      <c r="CB278" s="10"/>
      <c r="CC278" s="221"/>
      <c r="CD278" s="10"/>
      <c r="CE278" s="317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317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38">
        <f t="shared" si="129"/>
        <v>0</v>
      </c>
      <c r="DW278" s="14" t="str">
        <f t="shared" si="130"/>
        <v>PROB</v>
      </c>
    </row>
    <row r="279" spans="1:127" customFormat="1">
      <c r="A279" s="210">
        <v>35462</v>
      </c>
      <c r="B279" s="211"/>
      <c r="C279" s="8">
        <v>1</v>
      </c>
      <c r="D279" s="10">
        <v>13</v>
      </c>
      <c r="E279" s="10">
        <v>1</v>
      </c>
      <c r="F279" s="10">
        <v>0</v>
      </c>
      <c r="G279" s="10">
        <v>1</v>
      </c>
      <c r="H279" s="10">
        <v>0</v>
      </c>
      <c r="I279" s="10">
        <v>0</v>
      </c>
      <c r="J279" s="10">
        <v>27</v>
      </c>
      <c r="K279" s="59">
        <v>0</v>
      </c>
      <c r="L279" s="59">
        <v>0</v>
      </c>
      <c r="M279" s="59"/>
      <c r="N279" s="59"/>
      <c r="O279" s="10">
        <v>37</v>
      </c>
      <c r="P279" s="10">
        <v>1</v>
      </c>
      <c r="Q279" s="10">
        <v>0</v>
      </c>
      <c r="R279" s="10">
        <v>0</v>
      </c>
      <c r="S279" s="35">
        <f t="shared" si="127"/>
        <v>81</v>
      </c>
      <c r="T279" s="10">
        <v>25</v>
      </c>
      <c r="U279" s="10"/>
      <c r="V279" s="10"/>
      <c r="W279" s="10">
        <v>0</v>
      </c>
      <c r="X279" s="5">
        <v>2</v>
      </c>
      <c r="Y279" s="10"/>
      <c r="Z279" s="8">
        <v>624843</v>
      </c>
      <c r="AA279" s="10">
        <v>1440744</v>
      </c>
      <c r="AB279" s="10"/>
      <c r="AC279" s="61">
        <v>868103</v>
      </c>
      <c r="AD279" s="59">
        <v>1732914</v>
      </c>
      <c r="AE279" s="35">
        <f t="shared" si="128"/>
        <v>2601017</v>
      </c>
      <c r="AF279" s="10"/>
      <c r="AG279" s="8">
        <v>59</v>
      </c>
      <c r="AH279" s="10">
        <v>10</v>
      </c>
      <c r="AI279" s="10">
        <v>90</v>
      </c>
      <c r="AJ279" s="5">
        <v>44</v>
      </c>
      <c r="AK279" s="10"/>
      <c r="AL279" s="8"/>
      <c r="AM279" s="10"/>
      <c r="AN279" s="35"/>
      <c r="AO279" s="10"/>
      <c r="AP279" s="10"/>
      <c r="AQ279" s="35"/>
      <c r="AR279" s="59"/>
      <c r="AS279" s="59"/>
      <c r="AT279" s="59"/>
      <c r="AU279" s="59"/>
      <c r="AV279" s="62"/>
      <c r="AW279" s="10"/>
      <c r="AX279" s="326"/>
      <c r="AY279" s="5"/>
      <c r="AZ279" s="10"/>
      <c r="BA279" s="8">
        <v>1614</v>
      </c>
      <c r="BB279" s="10">
        <v>27110114</v>
      </c>
      <c r="BC279" s="10">
        <v>19208192</v>
      </c>
      <c r="BD279" s="10"/>
      <c r="BE279" s="10">
        <v>66</v>
      </c>
      <c r="BF279" s="10">
        <v>2</v>
      </c>
      <c r="BG279" s="10">
        <v>15</v>
      </c>
      <c r="BH279" s="30"/>
      <c r="BI279" s="10">
        <v>1934211</v>
      </c>
      <c r="BJ279" s="338"/>
      <c r="BK279" s="338"/>
      <c r="BL279" s="303"/>
      <c r="BM279" s="5"/>
      <c r="BN279" s="10"/>
      <c r="BO279" s="8"/>
      <c r="BP279" s="5">
        <v>149</v>
      </c>
      <c r="BQ279" s="10"/>
      <c r="BR279" s="29">
        <v>1997</v>
      </c>
      <c r="BS279" s="64">
        <v>1997</v>
      </c>
      <c r="BT279" s="14">
        <v>3</v>
      </c>
      <c r="BU279" s="10"/>
      <c r="BV279" s="8"/>
      <c r="BW279" s="10"/>
      <c r="BX279" s="10"/>
      <c r="BY279" s="10"/>
      <c r="BZ279" s="10"/>
      <c r="CA279" s="10"/>
      <c r="CB279" s="10"/>
      <c r="CC279" s="221"/>
      <c r="CD279" s="10"/>
      <c r="CE279" s="317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317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38">
        <f t="shared" si="129"/>
        <v>0</v>
      </c>
      <c r="DW279" s="14" t="str">
        <f t="shared" si="130"/>
        <v>PROB</v>
      </c>
    </row>
    <row r="280" spans="1:127" customFormat="1">
      <c r="A280" s="210">
        <v>35476</v>
      </c>
      <c r="B280" s="211"/>
      <c r="C280" s="8">
        <v>2</v>
      </c>
      <c r="D280" s="10">
        <v>9</v>
      </c>
      <c r="E280" s="10">
        <v>1</v>
      </c>
      <c r="F280" s="10">
        <v>0</v>
      </c>
      <c r="G280" s="10">
        <v>2</v>
      </c>
      <c r="H280" s="10">
        <v>1</v>
      </c>
      <c r="I280" s="10">
        <v>0</v>
      </c>
      <c r="J280" s="10">
        <v>4</v>
      </c>
      <c r="K280" s="10">
        <v>2</v>
      </c>
      <c r="L280" s="10">
        <v>1</v>
      </c>
      <c r="M280" s="10"/>
      <c r="N280" s="10"/>
      <c r="O280" s="10">
        <v>11</v>
      </c>
      <c r="P280" s="10">
        <v>0</v>
      </c>
      <c r="Q280" s="10">
        <v>1</v>
      </c>
      <c r="R280" s="10">
        <v>0</v>
      </c>
      <c r="S280" s="35">
        <f t="shared" si="127"/>
        <v>34</v>
      </c>
      <c r="T280" s="10">
        <v>2</v>
      </c>
      <c r="U280" s="10"/>
      <c r="V280" s="10"/>
      <c r="W280" s="10">
        <v>0</v>
      </c>
      <c r="X280" s="5">
        <v>0</v>
      </c>
      <c r="Y280" s="10"/>
      <c r="Z280" s="8">
        <v>606363</v>
      </c>
      <c r="AA280" s="10">
        <v>506288</v>
      </c>
      <c r="AB280" s="10"/>
      <c r="AC280" s="61">
        <v>451969</v>
      </c>
      <c r="AD280" s="59">
        <v>1021291</v>
      </c>
      <c r="AE280" s="35">
        <f t="shared" si="128"/>
        <v>1473260</v>
      </c>
      <c r="AF280" s="10"/>
      <c r="AG280" s="8">
        <v>43</v>
      </c>
      <c r="AH280" s="10">
        <v>15</v>
      </c>
      <c r="AI280" s="10">
        <v>92</v>
      </c>
      <c r="AJ280" s="5">
        <v>36</v>
      </c>
      <c r="AK280" s="10"/>
      <c r="AL280" s="8"/>
      <c r="AM280" s="10"/>
      <c r="AN280" s="35"/>
      <c r="AO280" s="10"/>
      <c r="AP280" s="10"/>
      <c r="AQ280" s="35"/>
      <c r="AR280" s="59"/>
      <c r="AS280" s="59"/>
      <c r="AT280" s="59"/>
      <c r="AU280" s="59"/>
      <c r="AV280" s="62"/>
      <c r="AW280" s="10"/>
      <c r="AX280" s="326"/>
      <c r="AY280" s="5"/>
      <c r="AZ280" s="10"/>
      <c r="BA280" s="8"/>
      <c r="BB280" s="10"/>
      <c r="BC280" s="10"/>
      <c r="BD280" s="10"/>
      <c r="BE280" s="10"/>
      <c r="BF280" s="10"/>
      <c r="BG280" s="10"/>
      <c r="BH280" s="30"/>
      <c r="BI280" s="10"/>
      <c r="BJ280" s="338"/>
      <c r="BK280" s="338"/>
      <c r="BL280" s="303"/>
      <c r="BM280" s="5"/>
      <c r="BN280" s="10"/>
      <c r="BO280" s="8"/>
      <c r="BP280" s="5"/>
      <c r="BQ280" s="10"/>
      <c r="BR280" s="29">
        <v>1997</v>
      </c>
      <c r="BS280" s="64">
        <v>1997</v>
      </c>
      <c r="BT280" s="14">
        <v>4</v>
      </c>
      <c r="BU280" s="10"/>
      <c r="BV280" s="8"/>
      <c r="BW280" s="10"/>
      <c r="BX280" s="10"/>
      <c r="BY280" s="10"/>
      <c r="BZ280" s="10"/>
      <c r="CA280" s="10"/>
      <c r="CB280" s="10"/>
      <c r="CC280" s="221"/>
      <c r="CD280" s="10"/>
      <c r="CE280" s="317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317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38">
        <f t="shared" si="129"/>
        <v>0</v>
      </c>
      <c r="DW280" s="14" t="str">
        <f t="shared" si="130"/>
        <v>PROB</v>
      </c>
    </row>
    <row r="281" spans="1:127" customFormat="1">
      <c r="A281" s="210">
        <v>35490</v>
      </c>
      <c r="B281" s="211"/>
      <c r="C281" s="8">
        <v>0</v>
      </c>
      <c r="D281" s="10">
        <v>20</v>
      </c>
      <c r="E281" s="10">
        <v>4</v>
      </c>
      <c r="F281" s="10">
        <v>0</v>
      </c>
      <c r="G281" s="10">
        <v>5</v>
      </c>
      <c r="H281" s="10">
        <v>0</v>
      </c>
      <c r="I281" s="10">
        <v>0</v>
      </c>
      <c r="J281" s="10">
        <v>51</v>
      </c>
      <c r="K281" s="10">
        <v>1</v>
      </c>
      <c r="L281" s="10">
        <v>0</v>
      </c>
      <c r="M281" s="10"/>
      <c r="N281" s="10"/>
      <c r="O281" s="10">
        <v>14</v>
      </c>
      <c r="P281" s="10">
        <v>0</v>
      </c>
      <c r="Q281" s="10">
        <v>0</v>
      </c>
      <c r="R281" s="10">
        <v>0</v>
      </c>
      <c r="S281" s="35">
        <f t="shared" si="127"/>
        <v>95</v>
      </c>
      <c r="T281" s="10">
        <v>17</v>
      </c>
      <c r="U281" s="10"/>
      <c r="V281" s="10"/>
      <c r="W281" s="10">
        <v>0</v>
      </c>
      <c r="X281" s="5">
        <v>0</v>
      </c>
      <c r="Y281" s="10"/>
      <c r="Z281" s="8">
        <v>894052</v>
      </c>
      <c r="AA281" s="10">
        <v>1097429</v>
      </c>
      <c r="AB281" s="10"/>
      <c r="AC281" s="61">
        <v>410936</v>
      </c>
      <c r="AD281" s="59">
        <v>1690354</v>
      </c>
      <c r="AE281" s="35">
        <f t="shared" si="128"/>
        <v>2101290</v>
      </c>
      <c r="AF281" s="10"/>
      <c r="AG281" s="8">
        <v>74</v>
      </c>
      <c r="AH281" s="10">
        <v>22</v>
      </c>
      <c r="AI281" s="10">
        <v>110</v>
      </c>
      <c r="AJ281" s="5">
        <v>64</v>
      </c>
      <c r="AK281" s="10"/>
      <c r="AL281" s="8"/>
      <c r="AM281" s="10"/>
      <c r="AN281" s="35"/>
      <c r="AO281" s="10"/>
      <c r="AP281" s="10"/>
      <c r="AQ281" s="35"/>
      <c r="AR281" s="59"/>
      <c r="AS281" s="59"/>
      <c r="AT281" s="59"/>
      <c r="AU281" s="59"/>
      <c r="AV281" s="62"/>
      <c r="AW281" s="10"/>
      <c r="AX281" s="326"/>
      <c r="AY281" s="5"/>
      <c r="AZ281" s="10"/>
      <c r="BA281" s="8">
        <v>1614</v>
      </c>
      <c r="BB281" s="10">
        <v>27154787</v>
      </c>
      <c r="BC281" s="10">
        <v>19236864</v>
      </c>
      <c r="BD281" s="10"/>
      <c r="BE281" s="10">
        <v>78</v>
      </c>
      <c r="BF281" s="10">
        <v>3</v>
      </c>
      <c r="BG281" s="10">
        <v>1</v>
      </c>
      <c r="BH281" s="30"/>
      <c r="BI281" s="10">
        <v>1950434</v>
      </c>
      <c r="BJ281" s="338"/>
      <c r="BK281" s="338"/>
      <c r="BL281" s="303"/>
      <c r="BM281" s="5"/>
      <c r="BN281" s="10"/>
      <c r="BO281" s="8"/>
      <c r="BP281" s="5">
        <v>149</v>
      </c>
      <c r="BQ281" s="10"/>
      <c r="BR281" s="29">
        <v>1997</v>
      </c>
      <c r="BS281" s="64">
        <v>1997</v>
      </c>
      <c r="BT281" s="14">
        <v>5</v>
      </c>
      <c r="BU281" s="10"/>
      <c r="BV281" s="8"/>
      <c r="BW281" s="10"/>
      <c r="BX281" s="10"/>
      <c r="BY281" s="10"/>
      <c r="BZ281" s="10"/>
      <c r="CA281" s="10"/>
      <c r="CB281" s="10"/>
      <c r="CC281" s="221"/>
      <c r="CD281" s="10"/>
      <c r="CE281" s="317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317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38">
        <f t="shared" si="129"/>
        <v>0</v>
      </c>
      <c r="DW281" s="14" t="str">
        <f t="shared" si="130"/>
        <v>PROB</v>
      </c>
    </row>
    <row r="282" spans="1:127" customFormat="1">
      <c r="A282" s="210">
        <v>35504</v>
      </c>
      <c r="B282" s="211"/>
      <c r="C282" s="8">
        <v>1</v>
      </c>
      <c r="D282" s="10">
        <v>13</v>
      </c>
      <c r="E282" s="10">
        <v>0</v>
      </c>
      <c r="F282" s="10">
        <v>0</v>
      </c>
      <c r="G282" s="10">
        <v>0</v>
      </c>
      <c r="H282" s="10">
        <v>1</v>
      </c>
      <c r="I282" s="10">
        <v>0</v>
      </c>
      <c r="J282" s="10">
        <v>2</v>
      </c>
      <c r="K282" s="10">
        <v>0</v>
      </c>
      <c r="L282" s="10">
        <v>2</v>
      </c>
      <c r="M282" s="10"/>
      <c r="N282" s="10"/>
      <c r="O282" s="10">
        <v>8</v>
      </c>
      <c r="P282" s="10">
        <v>1</v>
      </c>
      <c r="Q282" s="10">
        <v>0</v>
      </c>
      <c r="R282" s="10">
        <v>0</v>
      </c>
      <c r="S282" s="35">
        <f t="shared" si="127"/>
        <v>28</v>
      </c>
      <c r="T282" s="10">
        <v>1</v>
      </c>
      <c r="U282" s="10"/>
      <c r="V282" s="10"/>
      <c r="W282" s="10">
        <v>0</v>
      </c>
      <c r="X282" s="5">
        <v>4</v>
      </c>
      <c r="Y282" s="10"/>
      <c r="Z282" s="8">
        <v>803527</v>
      </c>
      <c r="AA282" s="10">
        <v>469002</v>
      </c>
      <c r="AB282" s="10"/>
      <c r="AC282" s="61">
        <v>414783</v>
      </c>
      <c r="AD282" s="59">
        <v>695212</v>
      </c>
      <c r="AE282" s="35">
        <f t="shared" si="128"/>
        <v>1109995</v>
      </c>
      <c r="AF282" s="10"/>
      <c r="AG282" s="8">
        <v>51</v>
      </c>
      <c r="AH282" s="10">
        <v>25</v>
      </c>
      <c r="AI282" s="10">
        <v>108</v>
      </c>
      <c r="AJ282" s="5">
        <v>28</v>
      </c>
      <c r="AK282" s="10"/>
      <c r="AL282" s="8"/>
      <c r="AM282" s="10"/>
      <c r="AN282" s="35"/>
      <c r="AO282" s="10"/>
      <c r="AP282" s="10"/>
      <c r="AQ282" s="35"/>
      <c r="AR282" s="59"/>
      <c r="AS282" s="59"/>
      <c r="AT282" s="59"/>
      <c r="AU282" s="59"/>
      <c r="AV282" s="62"/>
      <c r="AW282" s="10"/>
      <c r="AX282" s="326"/>
      <c r="AY282" s="5"/>
      <c r="AZ282" s="10"/>
      <c r="BA282" s="8"/>
      <c r="BB282" s="10"/>
      <c r="BC282" s="10"/>
      <c r="BD282" s="10"/>
      <c r="BE282" s="10"/>
      <c r="BF282" s="10"/>
      <c r="BG282" s="10"/>
      <c r="BH282" s="30"/>
      <c r="BI282" s="10"/>
      <c r="BJ282" s="338"/>
      <c r="BK282" s="338"/>
      <c r="BL282" s="303"/>
      <c r="BM282" s="5"/>
      <c r="BN282" s="10"/>
      <c r="BO282" s="8"/>
      <c r="BP282" s="5"/>
      <c r="BQ282" s="10"/>
      <c r="BR282" s="29">
        <v>1997</v>
      </c>
      <c r="BS282" s="64">
        <v>1997</v>
      </c>
      <c r="BT282" s="14">
        <v>6</v>
      </c>
      <c r="BU282" s="10"/>
      <c r="BV282" s="8"/>
      <c r="BW282" s="10"/>
      <c r="BX282" s="10"/>
      <c r="BY282" s="10"/>
      <c r="BZ282" s="10"/>
      <c r="CA282" s="10"/>
      <c r="CB282" s="10"/>
      <c r="CC282" s="221"/>
      <c r="CD282" s="10"/>
      <c r="CE282" s="317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317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38">
        <f t="shared" si="129"/>
        <v>0</v>
      </c>
      <c r="DW282" s="14" t="str">
        <f t="shared" si="130"/>
        <v>PROB</v>
      </c>
    </row>
    <row r="283" spans="1:127" customFormat="1">
      <c r="A283" s="210">
        <v>35521</v>
      </c>
      <c r="B283" s="211"/>
      <c r="C283" s="8">
        <v>7</v>
      </c>
      <c r="D283" s="10">
        <v>32</v>
      </c>
      <c r="E283" s="10">
        <v>0</v>
      </c>
      <c r="F283" s="10">
        <v>1</v>
      </c>
      <c r="G283" s="10">
        <v>1</v>
      </c>
      <c r="H283" s="10">
        <v>0</v>
      </c>
      <c r="I283" s="10">
        <v>0</v>
      </c>
      <c r="J283" s="10">
        <v>49</v>
      </c>
      <c r="K283" s="10">
        <v>0</v>
      </c>
      <c r="L283" s="10">
        <v>0</v>
      </c>
      <c r="M283" s="10"/>
      <c r="N283" s="10"/>
      <c r="O283" s="10">
        <v>19</v>
      </c>
      <c r="P283" s="10">
        <v>0</v>
      </c>
      <c r="Q283" s="10">
        <v>1</v>
      </c>
      <c r="R283" s="10">
        <v>0</v>
      </c>
      <c r="S283" s="35">
        <f t="shared" si="127"/>
        <v>110</v>
      </c>
      <c r="T283" s="10">
        <v>1</v>
      </c>
      <c r="U283" s="10"/>
      <c r="V283" s="10"/>
      <c r="W283" s="10">
        <v>0</v>
      </c>
      <c r="X283" s="5">
        <v>0</v>
      </c>
      <c r="Y283" s="10"/>
      <c r="Z283" s="8">
        <v>975957</v>
      </c>
      <c r="AA283" s="10">
        <v>2475839</v>
      </c>
      <c r="AB283" s="10"/>
      <c r="AC283" s="61">
        <v>909420</v>
      </c>
      <c r="AD283" s="59">
        <v>2535810</v>
      </c>
      <c r="AE283" s="35">
        <f t="shared" si="128"/>
        <v>3445230</v>
      </c>
      <c r="AF283" s="10"/>
      <c r="AG283" s="8">
        <v>108</v>
      </c>
      <c r="AH283" s="10">
        <v>13</v>
      </c>
      <c r="AI283" s="10">
        <v>134</v>
      </c>
      <c r="AJ283" s="5">
        <v>72</v>
      </c>
      <c r="AK283" s="10"/>
      <c r="AL283" s="8">
        <v>32</v>
      </c>
      <c r="AM283" s="59">
        <v>132</v>
      </c>
      <c r="AN283" s="35">
        <f>SUM(AL283:AM283)</f>
        <v>164</v>
      </c>
      <c r="AO283" s="59">
        <v>160</v>
      </c>
      <c r="AP283" s="59">
        <v>19</v>
      </c>
      <c r="AQ283" s="35">
        <f>SUM(AO283:AP283)</f>
        <v>179</v>
      </c>
      <c r="AR283" s="59"/>
      <c r="AS283" s="59"/>
      <c r="AT283" s="59"/>
      <c r="AU283" s="59"/>
      <c r="AV283" s="62"/>
      <c r="AW283" s="10"/>
      <c r="AX283" s="326"/>
      <c r="AY283" s="5"/>
      <c r="AZ283" s="10"/>
      <c r="BA283" s="8">
        <v>1616</v>
      </c>
      <c r="BB283" s="10">
        <v>27140630</v>
      </c>
      <c r="BC283" s="10">
        <v>19232768</v>
      </c>
      <c r="BD283" s="10"/>
      <c r="BE283" s="10">
        <v>156</v>
      </c>
      <c r="BF283" s="10">
        <v>8</v>
      </c>
      <c r="BG283" s="10">
        <v>5</v>
      </c>
      <c r="BH283" s="30"/>
      <c r="BI283" s="10">
        <v>3781253</v>
      </c>
      <c r="BJ283" s="338"/>
      <c r="BK283" s="338"/>
      <c r="BL283" s="303"/>
      <c r="BM283" s="5"/>
      <c r="BN283" s="10"/>
      <c r="BO283" s="8"/>
      <c r="BP283" s="5">
        <v>148</v>
      </c>
      <c r="BQ283" s="10"/>
      <c r="BR283" s="29">
        <v>1997</v>
      </c>
      <c r="BS283" s="64">
        <v>1997</v>
      </c>
      <c r="BT283" s="14">
        <v>7</v>
      </c>
      <c r="BU283" s="10"/>
      <c r="BV283" s="8"/>
      <c r="BW283" s="10"/>
      <c r="BX283" s="10"/>
      <c r="BY283" s="10"/>
      <c r="BZ283" s="10"/>
      <c r="CA283" s="10"/>
      <c r="CB283" s="10"/>
      <c r="CC283" s="221"/>
      <c r="CD283" s="10"/>
      <c r="CE283" s="317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317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38">
        <f t="shared" si="129"/>
        <v>0</v>
      </c>
      <c r="DW283" s="14" t="str">
        <f t="shared" si="130"/>
        <v>PROB</v>
      </c>
    </row>
    <row r="284" spans="1:127" customFormat="1">
      <c r="A284" s="210">
        <v>35535</v>
      </c>
      <c r="B284" s="211"/>
      <c r="C284" s="8">
        <v>2</v>
      </c>
      <c r="D284" s="10">
        <v>6</v>
      </c>
      <c r="E284" s="10">
        <v>2</v>
      </c>
      <c r="F284" s="10">
        <v>0</v>
      </c>
      <c r="G284" s="10">
        <v>1</v>
      </c>
      <c r="H284" s="10">
        <v>0</v>
      </c>
      <c r="I284" s="10">
        <v>0</v>
      </c>
      <c r="J284" s="10">
        <v>30</v>
      </c>
      <c r="K284" s="10">
        <v>0</v>
      </c>
      <c r="L284" s="10">
        <v>1</v>
      </c>
      <c r="M284" s="10"/>
      <c r="N284" s="10"/>
      <c r="O284" s="10">
        <v>24</v>
      </c>
      <c r="P284" s="10">
        <v>0</v>
      </c>
      <c r="Q284" s="10">
        <v>0</v>
      </c>
      <c r="R284" s="10">
        <v>0</v>
      </c>
      <c r="S284" s="35">
        <f t="shared" si="127"/>
        <v>66</v>
      </c>
      <c r="T284" s="10">
        <v>0</v>
      </c>
      <c r="U284" s="10"/>
      <c r="V284" s="10"/>
      <c r="W284" s="10">
        <v>0</v>
      </c>
      <c r="X284" s="5">
        <v>0</v>
      </c>
      <c r="Y284" s="10"/>
      <c r="Z284" s="8">
        <v>1053338</v>
      </c>
      <c r="AA284" s="10">
        <v>1014817</v>
      </c>
      <c r="AB284" s="10"/>
      <c r="AC284" s="61">
        <v>383841</v>
      </c>
      <c r="AD284" s="59">
        <v>1448675</v>
      </c>
      <c r="AE284" s="35">
        <f t="shared" si="128"/>
        <v>1832516</v>
      </c>
      <c r="AF284" s="10"/>
      <c r="AG284" s="8">
        <v>53</v>
      </c>
      <c r="AH284" s="10">
        <v>42</v>
      </c>
      <c r="AI284" s="10">
        <v>110</v>
      </c>
      <c r="AJ284" s="5">
        <v>44</v>
      </c>
      <c r="AK284" s="10"/>
      <c r="AL284" s="8"/>
      <c r="AM284" s="10"/>
      <c r="AN284" s="35"/>
      <c r="AO284" s="10"/>
      <c r="AP284" s="10"/>
      <c r="AQ284" s="35"/>
      <c r="AR284" s="59"/>
      <c r="AS284" s="59"/>
      <c r="AT284" s="59"/>
      <c r="AU284" s="59"/>
      <c r="AV284" s="62"/>
      <c r="AW284" s="10"/>
      <c r="AX284" s="326"/>
      <c r="AY284" s="5"/>
      <c r="AZ284" s="10"/>
      <c r="BA284" s="8"/>
      <c r="BB284" s="10"/>
      <c r="BC284" s="10"/>
      <c r="BD284" s="10"/>
      <c r="BE284" s="10"/>
      <c r="BF284" s="10"/>
      <c r="BG284" s="10"/>
      <c r="BH284" s="30"/>
      <c r="BI284" s="10"/>
      <c r="BJ284" s="338"/>
      <c r="BK284" s="338"/>
      <c r="BL284" s="303"/>
      <c r="BM284" s="5"/>
      <c r="BN284" s="10"/>
      <c r="BO284" s="8"/>
      <c r="BP284" s="5"/>
      <c r="BQ284" s="10"/>
      <c r="BR284" s="29">
        <v>1997</v>
      </c>
      <c r="BS284" s="64">
        <v>1997</v>
      </c>
      <c r="BT284" s="14">
        <v>8</v>
      </c>
      <c r="BU284" s="10"/>
      <c r="BV284" s="8"/>
      <c r="BW284" s="10"/>
      <c r="BX284" s="10"/>
      <c r="BY284" s="10"/>
      <c r="BZ284" s="10"/>
      <c r="CA284" s="10"/>
      <c r="CB284" s="10"/>
      <c r="CC284" s="221"/>
      <c r="CD284" s="10"/>
      <c r="CE284" s="317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317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38">
        <f t="shared" si="129"/>
        <v>0</v>
      </c>
      <c r="DW284" s="14" t="str">
        <f t="shared" si="130"/>
        <v>PROB</v>
      </c>
    </row>
    <row r="285" spans="1:127" customFormat="1">
      <c r="A285" s="210">
        <v>35551</v>
      </c>
      <c r="B285" s="211"/>
      <c r="C285" s="8">
        <v>14</v>
      </c>
      <c r="D285" s="10">
        <v>12</v>
      </c>
      <c r="E285" s="10">
        <v>1</v>
      </c>
      <c r="F285" s="10">
        <v>0</v>
      </c>
      <c r="G285" s="10">
        <v>1</v>
      </c>
      <c r="H285" s="10">
        <v>0</v>
      </c>
      <c r="I285" s="10">
        <v>1</v>
      </c>
      <c r="J285" s="10">
        <v>32</v>
      </c>
      <c r="K285" s="10">
        <v>0</v>
      </c>
      <c r="L285" s="10">
        <v>0</v>
      </c>
      <c r="M285" s="10"/>
      <c r="N285" s="10"/>
      <c r="O285" s="10">
        <v>0</v>
      </c>
      <c r="P285" s="10">
        <v>2</v>
      </c>
      <c r="Q285" s="10">
        <v>0</v>
      </c>
      <c r="R285" s="10">
        <v>0</v>
      </c>
      <c r="S285" s="35">
        <f t="shared" si="127"/>
        <v>63</v>
      </c>
      <c r="T285" s="10">
        <v>0</v>
      </c>
      <c r="U285" s="10"/>
      <c r="V285" s="10"/>
      <c r="W285" s="10">
        <v>0</v>
      </c>
      <c r="X285" s="5">
        <v>4</v>
      </c>
      <c r="Y285" s="10"/>
      <c r="Z285" s="8">
        <v>1262532</v>
      </c>
      <c r="AA285" s="10">
        <v>1270017</v>
      </c>
      <c r="AB285" s="10"/>
      <c r="AC285" s="61">
        <v>791544</v>
      </c>
      <c r="AD285" s="59">
        <v>1442539</v>
      </c>
      <c r="AE285" s="35">
        <f t="shared" si="128"/>
        <v>2234083</v>
      </c>
      <c r="AF285" s="10"/>
      <c r="AG285" s="8">
        <v>113</v>
      </c>
      <c r="AH285" s="10">
        <v>18</v>
      </c>
      <c r="AI285" s="10">
        <v>144</v>
      </c>
      <c r="AJ285" s="5">
        <v>64</v>
      </c>
      <c r="AK285" s="10"/>
      <c r="AL285" s="8"/>
      <c r="AM285" s="10"/>
      <c r="AN285" s="35"/>
      <c r="AO285" s="10"/>
      <c r="AP285" s="10"/>
      <c r="AQ285" s="35"/>
      <c r="AR285" s="59"/>
      <c r="AS285" s="59"/>
      <c r="AT285" s="59"/>
      <c r="AU285" s="59"/>
      <c r="AV285" s="62"/>
      <c r="AW285" s="10"/>
      <c r="AX285" s="326"/>
      <c r="AY285" s="5"/>
      <c r="AZ285" s="10"/>
      <c r="BA285" s="8">
        <v>1618</v>
      </c>
      <c r="BB285" s="10">
        <v>27219671</v>
      </c>
      <c r="BC285" s="10">
        <v>19271680</v>
      </c>
      <c r="BD285" s="10"/>
      <c r="BE285" s="10">
        <v>99</v>
      </c>
      <c r="BF285" s="10">
        <v>3</v>
      </c>
      <c r="BG285" s="10">
        <v>0</v>
      </c>
      <c r="BH285" s="30"/>
      <c r="BI285" s="10">
        <v>2434803</v>
      </c>
      <c r="BJ285" s="338"/>
      <c r="BK285" s="338"/>
      <c r="BL285" s="303"/>
      <c r="BM285" s="5"/>
      <c r="BN285" s="10"/>
      <c r="BO285" s="8"/>
      <c r="BP285" s="5">
        <v>149</v>
      </c>
      <c r="BQ285" s="10"/>
      <c r="BR285" s="29">
        <v>1997</v>
      </c>
      <c r="BS285" s="64">
        <v>1997</v>
      </c>
      <c r="BT285" s="14">
        <v>9</v>
      </c>
      <c r="BU285" s="10"/>
      <c r="BV285" s="8"/>
      <c r="BW285" s="10"/>
      <c r="BX285" s="10"/>
      <c r="BY285" s="10"/>
      <c r="BZ285" s="10"/>
      <c r="CA285" s="10"/>
      <c r="CB285" s="10"/>
      <c r="CC285" s="221"/>
      <c r="CD285" s="10"/>
      <c r="CE285" s="317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317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38">
        <f t="shared" si="129"/>
        <v>0</v>
      </c>
      <c r="DW285" s="14" t="str">
        <f t="shared" si="130"/>
        <v>PROB</v>
      </c>
    </row>
    <row r="286" spans="1:127" customFormat="1">
      <c r="A286" s="210">
        <v>35565</v>
      </c>
      <c r="B286" s="211"/>
      <c r="C286" s="8">
        <v>11</v>
      </c>
      <c r="D286" s="10">
        <v>32</v>
      </c>
      <c r="E286" s="10">
        <v>10</v>
      </c>
      <c r="F286" s="10">
        <v>2</v>
      </c>
      <c r="G286" s="10">
        <v>0</v>
      </c>
      <c r="H286" s="10">
        <v>1</v>
      </c>
      <c r="I286" s="10">
        <v>0</v>
      </c>
      <c r="J286" s="10">
        <v>40</v>
      </c>
      <c r="K286" s="10">
        <v>0</v>
      </c>
      <c r="L286" s="10">
        <v>2</v>
      </c>
      <c r="M286" s="10"/>
      <c r="N286" s="10"/>
      <c r="O286" s="10">
        <v>10</v>
      </c>
      <c r="P286" s="10">
        <v>0</v>
      </c>
      <c r="Q286" s="10">
        <v>0</v>
      </c>
      <c r="R286" s="10">
        <v>0</v>
      </c>
      <c r="S286" s="35">
        <f t="shared" si="127"/>
        <v>108</v>
      </c>
      <c r="T286" s="10">
        <v>2</v>
      </c>
      <c r="U286" s="10"/>
      <c r="V286" s="10"/>
      <c r="W286" s="10">
        <v>12</v>
      </c>
      <c r="X286" s="5">
        <v>0</v>
      </c>
      <c r="Y286" s="10"/>
      <c r="Z286" s="8">
        <v>1657076</v>
      </c>
      <c r="AA286" s="10">
        <v>2508212</v>
      </c>
      <c r="AB286" s="10"/>
      <c r="AC286" s="61">
        <v>1735213</v>
      </c>
      <c r="AD286" s="59">
        <v>2386438</v>
      </c>
      <c r="AE286" s="35">
        <f t="shared" si="128"/>
        <v>4121651</v>
      </c>
      <c r="AF286" s="10"/>
      <c r="AG286" s="8">
        <v>207</v>
      </c>
      <c r="AH286" s="10">
        <v>1</v>
      </c>
      <c r="AI286" s="10">
        <v>220</v>
      </c>
      <c r="AJ286" s="5">
        <v>64</v>
      </c>
      <c r="AK286" s="10"/>
      <c r="AL286" s="8"/>
      <c r="AM286" s="10"/>
      <c r="AN286" s="35"/>
      <c r="AO286" s="10"/>
      <c r="AP286" s="10"/>
      <c r="AQ286" s="35"/>
      <c r="AR286" s="59"/>
      <c r="AS286" s="59"/>
      <c r="AT286" s="59"/>
      <c r="AU286" s="59"/>
      <c r="AV286" s="62"/>
      <c r="AW286" s="10"/>
      <c r="AX286" s="326"/>
      <c r="AY286" s="5"/>
      <c r="AZ286" s="10"/>
      <c r="BA286" s="8"/>
      <c r="BB286" s="10"/>
      <c r="BC286" s="10"/>
      <c r="BD286" s="10"/>
      <c r="BE286" s="10"/>
      <c r="BF286" s="10"/>
      <c r="BG286" s="10"/>
      <c r="BH286" s="30"/>
      <c r="BI286" s="10"/>
      <c r="BJ286" s="338"/>
      <c r="BK286" s="338"/>
      <c r="BL286" s="303"/>
      <c r="BM286" s="5"/>
      <c r="BN286" s="10"/>
      <c r="BO286" s="8"/>
      <c r="BP286" s="5"/>
      <c r="BQ286" s="10"/>
      <c r="BR286" s="29">
        <v>1997</v>
      </c>
      <c r="BS286" s="64">
        <v>1997</v>
      </c>
      <c r="BT286" s="14">
        <v>10</v>
      </c>
      <c r="BU286" s="10"/>
      <c r="BV286" s="8"/>
      <c r="BW286" s="10"/>
      <c r="BX286" s="10"/>
      <c r="BY286" s="10"/>
      <c r="BZ286" s="10"/>
      <c r="CA286" s="10"/>
      <c r="CB286" s="10"/>
      <c r="CC286" s="221"/>
      <c r="CD286" s="10"/>
      <c r="CE286" s="317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317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38">
        <f t="shared" si="129"/>
        <v>0</v>
      </c>
      <c r="DW286" s="14" t="str">
        <f t="shared" si="130"/>
        <v>PROB</v>
      </c>
    </row>
    <row r="287" spans="1:127" customFormat="1">
      <c r="A287" s="210">
        <v>35582</v>
      </c>
      <c r="B287" s="211"/>
      <c r="C287" s="8">
        <v>9</v>
      </c>
      <c r="D287" s="10">
        <v>49</v>
      </c>
      <c r="E287" s="10">
        <v>7</v>
      </c>
      <c r="F287" s="10">
        <v>1</v>
      </c>
      <c r="G287" s="10">
        <v>2</v>
      </c>
      <c r="H287" s="10">
        <v>5</v>
      </c>
      <c r="I287" s="10">
        <v>0</v>
      </c>
      <c r="J287" s="10">
        <v>64</v>
      </c>
      <c r="K287" s="10">
        <v>0</v>
      </c>
      <c r="L287" s="10">
        <v>0</v>
      </c>
      <c r="M287" s="10"/>
      <c r="N287" s="10"/>
      <c r="O287" s="10">
        <v>73</v>
      </c>
      <c r="P287" s="10">
        <v>1</v>
      </c>
      <c r="Q287" s="10">
        <v>0</v>
      </c>
      <c r="R287" s="10">
        <v>0</v>
      </c>
      <c r="S287" s="35">
        <f t="shared" si="127"/>
        <v>211</v>
      </c>
      <c r="T287" s="10">
        <v>5</v>
      </c>
      <c r="U287" s="10"/>
      <c r="V287" s="10"/>
      <c r="W287" s="10">
        <v>8</v>
      </c>
      <c r="X287" s="5">
        <v>1</v>
      </c>
      <c r="Y287" s="10"/>
      <c r="Z287" s="8">
        <v>1718564</v>
      </c>
      <c r="AA287" s="10">
        <v>3853289</v>
      </c>
      <c r="AB287" s="10"/>
      <c r="AC287" s="61">
        <v>2633451</v>
      </c>
      <c r="AD287" s="59">
        <v>4317531</v>
      </c>
      <c r="AE287" s="35">
        <f t="shared" si="128"/>
        <v>6950982</v>
      </c>
      <c r="AF287" s="10"/>
      <c r="AG287" s="8">
        <v>192</v>
      </c>
      <c r="AH287" s="10">
        <v>1</v>
      </c>
      <c r="AI287" s="10">
        <v>208</v>
      </c>
      <c r="AJ287" s="5">
        <v>72</v>
      </c>
      <c r="AK287" s="10"/>
      <c r="AL287" s="8"/>
      <c r="AM287" s="10"/>
      <c r="AN287" s="35"/>
      <c r="AO287" s="10"/>
      <c r="AP287" s="10"/>
      <c r="AQ287" s="35"/>
      <c r="AR287" s="59"/>
      <c r="AS287" s="59"/>
      <c r="AT287" s="59"/>
      <c r="AU287" s="59"/>
      <c r="AV287" s="62"/>
      <c r="AW287" s="10"/>
      <c r="AX287" s="326"/>
      <c r="AY287" s="5"/>
      <c r="AZ287" s="10"/>
      <c r="BA287" s="8">
        <v>1619</v>
      </c>
      <c r="BB287" s="6">
        <v>27247512</v>
      </c>
      <c r="BC287" s="10">
        <v>19269632</v>
      </c>
      <c r="BD287" s="10"/>
      <c r="BE287" s="10">
        <v>119</v>
      </c>
      <c r="BF287" s="10">
        <v>4</v>
      </c>
      <c r="BG287" s="10">
        <v>2</v>
      </c>
      <c r="BH287" s="30"/>
      <c r="BI287" s="10">
        <v>2797643</v>
      </c>
      <c r="BJ287" s="338"/>
      <c r="BK287" s="338"/>
      <c r="BL287" s="303"/>
      <c r="BM287" s="5"/>
      <c r="BN287" s="10"/>
      <c r="BO287" s="8"/>
      <c r="BP287" s="5">
        <v>149</v>
      </c>
      <c r="BQ287" s="10"/>
      <c r="BR287" s="29">
        <v>1997</v>
      </c>
      <c r="BS287" s="64">
        <v>1997</v>
      </c>
      <c r="BT287" s="14">
        <v>11</v>
      </c>
      <c r="BU287" s="10"/>
      <c r="BV287" s="8"/>
      <c r="BW287" s="10"/>
      <c r="BX287" s="10"/>
      <c r="BY287" s="10"/>
      <c r="BZ287" s="10"/>
      <c r="CA287" s="10"/>
      <c r="CB287" s="10"/>
      <c r="CC287" s="221"/>
      <c r="CD287" s="10"/>
      <c r="CE287" s="317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317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38">
        <f t="shared" si="129"/>
        <v>0</v>
      </c>
      <c r="DW287" s="14" t="str">
        <f t="shared" si="130"/>
        <v>PROB</v>
      </c>
    </row>
    <row r="288" spans="1:127" customFormat="1">
      <c r="A288" s="210">
        <v>35596</v>
      </c>
      <c r="B288" s="211"/>
      <c r="C288" s="8">
        <v>0</v>
      </c>
      <c r="D288" s="10">
        <v>2</v>
      </c>
      <c r="E288" s="10">
        <v>2</v>
      </c>
      <c r="F288" s="10">
        <v>0</v>
      </c>
      <c r="G288" s="10">
        <v>3</v>
      </c>
      <c r="H288" s="10">
        <v>0</v>
      </c>
      <c r="I288" s="10">
        <v>0</v>
      </c>
      <c r="J288" s="10">
        <v>22</v>
      </c>
      <c r="K288" s="10">
        <v>0</v>
      </c>
      <c r="L288" s="10">
        <v>1</v>
      </c>
      <c r="M288" s="10"/>
      <c r="N288" s="10"/>
      <c r="O288" s="10">
        <v>10</v>
      </c>
      <c r="P288" s="10">
        <v>1</v>
      </c>
      <c r="Q288" s="10">
        <v>1</v>
      </c>
      <c r="R288" s="10">
        <v>0</v>
      </c>
      <c r="S288" s="35">
        <f t="shared" si="127"/>
        <v>42</v>
      </c>
      <c r="T288" s="10">
        <v>0</v>
      </c>
      <c r="U288" s="10"/>
      <c r="V288" s="10"/>
      <c r="W288" s="10">
        <v>0</v>
      </c>
      <c r="X288" s="5">
        <v>0</v>
      </c>
      <c r="Y288" s="10"/>
      <c r="Z288" s="8">
        <v>1601992</v>
      </c>
      <c r="AA288" s="10">
        <v>649326</v>
      </c>
      <c r="AB288" s="10"/>
      <c r="AC288" s="61">
        <v>194047</v>
      </c>
      <c r="AD288" s="59">
        <v>932995</v>
      </c>
      <c r="AE288" s="79">
        <f t="shared" si="128"/>
        <v>1127042</v>
      </c>
      <c r="AF288" s="10"/>
      <c r="AG288" s="8">
        <v>37</v>
      </c>
      <c r="AH288" s="10">
        <v>81</v>
      </c>
      <c r="AI288" s="10">
        <v>140</v>
      </c>
      <c r="AJ288" s="5">
        <v>24</v>
      </c>
      <c r="AK288" s="10"/>
      <c r="AL288" s="8"/>
      <c r="AM288" s="10"/>
      <c r="AN288" s="35"/>
      <c r="AO288" s="10"/>
      <c r="AP288" s="10"/>
      <c r="AQ288" s="35"/>
      <c r="AR288" s="59"/>
      <c r="AS288" s="59"/>
      <c r="AT288" s="59"/>
      <c r="AU288" s="59"/>
      <c r="AV288" s="62"/>
      <c r="AW288" s="10"/>
      <c r="AX288" s="326"/>
      <c r="AY288" s="5"/>
      <c r="AZ288" s="10"/>
      <c r="BA288" s="8"/>
      <c r="BB288" s="10"/>
      <c r="BC288" s="10"/>
      <c r="BD288" s="10"/>
      <c r="BE288" s="10"/>
      <c r="BF288" s="10"/>
      <c r="BG288" s="10"/>
      <c r="BH288" s="30"/>
      <c r="BI288" s="10"/>
      <c r="BJ288" s="338"/>
      <c r="BK288" s="338"/>
      <c r="BL288" s="303"/>
      <c r="BM288" s="5"/>
      <c r="BN288" s="10"/>
      <c r="BO288" s="8"/>
      <c r="BP288" s="5"/>
      <c r="BQ288" s="10"/>
      <c r="BR288" s="29">
        <v>1997</v>
      </c>
      <c r="BS288" s="64">
        <v>1997</v>
      </c>
      <c r="BT288" s="14">
        <v>12</v>
      </c>
      <c r="BU288" s="10"/>
      <c r="BV288" s="8"/>
      <c r="BW288" s="10"/>
      <c r="BX288" s="10"/>
      <c r="BY288" s="10"/>
      <c r="BZ288" s="10"/>
      <c r="CA288" s="10"/>
      <c r="CB288" s="10"/>
      <c r="CC288" s="221"/>
      <c r="CD288" s="10"/>
      <c r="CE288" s="317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317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38">
        <f t="shared" si="129"/>
        <v>0</v>
      </c>
      <c r="DW288" s="14" t="str">
        <f t="shared" si="130"/>
        <v>PROB</v>
      </c>
    </row>
    <row r="289" spans="1:127" s="6" customFormat="1" ht="12" thickBot="1">
      <c r="A289" s="212" t="s">
        <v>105</v>
      </c>
      <c r="B289" s="83"/>
      <c r="C289" s="52">
        <f t="shared" ref="C289:X289" si="131">SUM(C265:C288)</f>
        <v>78</v>
      </c>
      <c r="D289" s="53">
        <f t="shared" si="131"/>
        <v>468</v>
      </c>
      <c r="E289" s="53">
        <f t="shared" si="131"/>
        <v>74</v>
      </c>
      <c r="F289" s="53">
        <f t="shared" si="131"/>
        <v>11</v>
      </c>
      <c r="G289" s="53">
        <f t="shared" si="131"/>
        <v>52</v>
      </c>
      <c r="H289" s="53">
        <f t="shared" si="131"/>
        <v>27</v>
      </c>
      <c r="I289" s="53">
        <f>SUM(I265:I288)</f>
        <v>2</v>
      </c>
      <c r="J289" s="53">
        <f t="shared" si="131"/>
        <v>418</v>
      </c>
      <c r="K289" s="53">
        <f t="shared" si="131"/>
        <v>3</v>
      </c>
      <c r="L289" s="53">
        <f t="shared" si="131"/>
        <v>7</v>
      </c>
      <c r="M289" s="53"/>
      <c r="N289" s="53"/>
      <c r="O289" s="53">
        <f>SUM(O265:O288)</f>
        <v>361</v>
      </c>
      <c r="P289" s="53">
        <f t="shared" si="131"/>
        <v>20</v>
      </c>
      <c r="Q289" s="53">
        <f t="shared" si="131"/>
        <v>4</v>
      </c>
      <c r="R289" s="53">
        <f t="shared" si="131"/>
        <v>0</v>
      </c>
      <c r="S289" s="55">
        <f t="shared" si="131"/>
        <v>1525</v>
      </c>
      <c r="T289" s="53">
        <f t="shared" si="131"/>
        <v>110</v>
      </c>
      <c r="U289" s="53">
        <f t="shared" si="131"/>
        <v>0</v>
      </c>
      <c r="V289" s="53">
        <f t="shared" ref="V289" si="132">SUM(V265:V288)</f>
        <v>0</v>
      </c>
      <c r="W289" s="53">
        <f t="shared" si="131"/>
        <v>20</v>
      </c>
      <c r="X289" s="54">
        <f t="shared" si="131"/>
        <v>15</v>
      </c>
      <c r="Z289" s="52">
        <f>SUM(Z265:Z288)</f>
        <v>30770174</v>
      </c>
      <c r="AA289" s="53">
        <f>SUM(AA265:AA288)</f>
        <v>26881959</v>
      </c>
      <c r="AB289" s="53"/>
      <c r="AC289" s="52">
        <f>SUM(AC265:AC288)</f>
        <v>18984335</v>
      </c>
      <c r="AD289" s="53">
        <f>SUM(AD265:AD288)</f>
        <v>35220333</v>
      </c>
      <c r="AE289" s="55">
        <f>SUM(AE265:AE288)</f>
        <v>54204668</v>
      </c>
      <c r="AG289" s="52">
        <f>SUM(AG265:AG288)</f>
        <v>2146</v>
      </c>
      <c r="AH289" s="53">
        <f>SUM(AH265:AH288)</f>
        <v>907</v>
      </c>
      <c r="AI289" s="53">
        <f>SUM(AI265:AI288)</f>
        <v>3460</v>
      </c>
      <c r="AJ289" s="54">
        <f>SUM(AJ265:AJ288)</f>
        <v>1088</v>
      </c>
      <c r="AL289" s="52">
        <f t="shared" ref="AL289:AV289" si="133">SUM(AL265:AL288)</f>
        <v>127</v>
      </c>
      <c r="AM289" s="53">
        <f t="shared" si="133"/>
        <v>500</v>
      </c>
      <c r="AN289" s="55">
        <f t="shared" si="133"/>
        <v>627</v>
      </c>
      <c r="AO289" s="53">
        <f t="shared" si="133"/>
        <v>672</v>
      </c>
      <c r="AP289" s="53">
        <f t="shared" si="133"/>
        <v>76</v>
      </c>
      <c r="AQ289" s="55">
        <f t="shared" si="133"/>
        <v>748</v>
      </c>
      <c r="AR289" s="53">
        <f t="shared" si="133"/>
        <v>0</v>
      </c>
      <c r="AS289" s="53">
        <f t="shared" si="133"/>
        <v>0</v>
      </c>
      <c r="AT289" s="53">
        <f t="shared" si="133"/>
        <v>0</v>
      </c>
      <c r="AU289" s="53">
        <f t="shared" si="133"/>
        <v>0</v>
      </c>
      <c r="AV289" s="54">
        <f t="shared" si="133"/>
        <v>0</v>
      </c>
      <c r="AX289" s="329"/>
      <c r="AY289" s="54"/>
      <c r="BA289" s="52">
        <f t="shared" ref="BA289:BM289" si="134">SUM(BA265:BA288)</f>
        <v>19501</v>
      </c>
      <c r="BB289" s="53">
        <f t="shared" si="134"/>
        <v>326888202</v>
      </c>
      <c r="BC289" s="53">
        <f t="shared" si="134"/>
        <v>231178240</v>
      </c>
      <c r="BD289" s="53"/>
      <c r="BE289" s="53">
        <f t="shared" si="134"/>
        <v>939</v>
      </c>
      <c r="BF289" s="53">
        <f t="shared" si="134"/>
        <v>49</v>
      </c>
      <c r="BG289" s="53">
        <f t="shared" si="134"/>
        <v>56</v>
      </c>
      <c r="BH289" s="55"/>
      <c r="BI289" s="53">
        <f t="shared" si="134"/>
        <v>24987095</v>
      </c>
      <c r="BJ289" s="339"/>
      <c r="BK289" s="339"/>
      <c r="BL289" s="304"/>
      <c r="BM289" s="54">
        <f t="shared" si="134"/>
        <v>0</v>
      </c>
      <c r="BO289" s="52">
        <f>SUM(BO265:BO288)</f>
        <v>0</v>
      </c>
      <c r="BP289" s="54">
        <f>SUM(BP265:BP288)</f>
        <v>1638</v>
      </c>
      <c r="BR289" s="81" t="s">
        <v>106</v>
      </c>
      <c r="BS289" s="80"/>
      <c r="BT289" s="82"/>
      <c r="BV289" s="52">
        <f>SUM(BV265:BV288)</f>
        <v>0</v>
      </c>
      <c r="BW289" s="53">
        <f>SUM(BW265:BW288)</f>
        <v>0</v>
      </c>
      <c r="BX289" s="53">
        <f t="shared" ref="BX289:DU289" si="135">SUM(BX265:BX288)</f>
        <v>0</v>
      </c>
      <c r="BY289" s="53">
        <f t="shared" si="135"/>
        <v>0</v>
      </c>
      <c r="BZ289" s="53">
        <f t="shared" si="135"/>
        <v>0</v>
      </c>
      <c r="CA289" s="53">
        <f t="shared" si="135"/>
        <v>0</v>
      </c>
      <c r="CB289" s="53">
        <f t="shared" si="135"/>
        <v>0</v>
      </c>
      <c r="CC289" s="53">
        <f t="shared" si="135"/>
        <v>0</v>
      </c>
      <c r="CD289" s="53">
        <f t="shared" si="135"/>
        <v>0</v>
      </c>
      <c r="CE289" s="53">
        <f t="shared" si="135"/>
        <v>0</v>
      </c>
      <c r="CF289" s="53">
        <f t="shared" si="135"/>
        <v>0</v>
      </c>
      <c r="CG289" s="53">
        <f t="shared" si="135"/>
        <v>0</v>
      </c>
      <c r="CH289" s="53">
        <f t="shared" si="135"/>
        <v>0</v>
      </c>
      <c r="CI289" s="53">
        <f t="shared" si="135"/>
        <v>0</v>
      </c>
      <c r="CJ289" s="53">
        <f t="shared" si="135"/>
        <v>0</v>
      </c>
      <c r="CK289" s="53">
        <f t="shared" si="135"/>
        <v>0</v>
      </c>
      <c r="CL289" s="53">
        <f t="shared" si="135"/>
        <v>0</v>
      </c>
      <c r="CM289" s="53">
        <f t="shared" si="135"/>
        <v>0</v>
      </c>
      <c r="CN289" s="53">
        <f t="shared" si="135"/>
        <v>0</v>
      </c>
      <c r="CO289" s="53">
        <f t="shared" si="135"/>
        <v>0</v>
      </c>
      <c r="CP289" s="53">
        <f t="shared" si="135"/>
        <v>0</v>
      </c>
      <c r="CQ289" s="53">
        <f t="shared" si="135"/>
        <v>0</v>
      </c>
      <c r="CR289" s="53">
        <f t="shared" si="135"/>
        <v>0</v>
      </c>
      <c r="CS289" s="53">
        <f t="shared" si="135"/>
        <v>0</v>
      </c>
      <c r="CT289" s="53">
        <f t="shared" si="135"/>
        <v>0</v>
      </c>
      <c r="CU289" s="53">
        <f t="shared" si="135"/>
        <v>0</v>
      </c>
      <c r="CV289" s="53">
        <f t="shared" si="135"/>
        <v>0</v>
      </c>
      <c r="CW289" s="53">
        <f t="shared" si="135"/>
        <v>0</v>
      </c>
      <c r="CX289" s="53">
        <f t="shared" si="135"/>
        <v>0</v>
      </c>
      <c r="CY289" s="53">
        <f t="shared" si="135"/>
        <v>0</v>
      </c>
      <c r="CZ289" s="53">
        <f t="shared" si="135"/>
        <v>0</v>
      </c>
      <c r="DA289" s="53">
        <f t="shared" si="135"/>
        <v>0</v>
      </c>
      <c r="DB289" s="53">
        <f t="shared" si="135"/>
        <v>0</v>
      </c>
      <c r="DC289" s="53">
        <f t="shared" si="135"/>
        <v>0</v>
      </c>
      <c r="DD289" s="53">
        <f t="shared" si="135"/>
        <v>0</v>
      </c>
      <c r="DE289" s="53">
        <f t="shared" si="135"/>
        <v>0</v>
      </c>
      <c r="DF289" s="53">
        <f t="shared" si="135"/>
        <v>0</v>
      </c>
      <c r="DG289" s="53">
        <f t="shared" si="135"/>
        <v>0</v>
      </c>
      <c r="DH289" s="53">
        <f t="shared" si="135"/>
        <v>0</v>
      </c>
      <c r="DI289" s="53">
        <f t="shared" si="135"/>
        <v>0</v>
      </c>
      <c r="DJ289" s="53">
        <f t="shared" si="135"/>
        <v>0</v>
      </c>
      <c r="DK289" s="53">
        <f t="shared" si="135"/>
        <v>0</v>
      </c>
      <c r="DL289" s="53">
        <f t="shared" si="135"/>
        <v>0</v>
      </c>
      <c r="DM289" s="53">
        <f t="shared" si="135"/>
        <v>0</v>
      </c>
      <c r="DN289" s="53">
        <f t="shared" si="135"/>
        <v>0</v>
      </c>
      <c r="DO289" s="53">
        <f t="shared" si="135"/>
        <v>0</v>
      </c>
      <c r="DP289" s="53">
        <f t="shared" si="135"/>
        <v>0</v>
      </c>
      <c r="DQ289" s="53">
        <f t="shared" si="135"/>
        <v>0</v>
      </c>
      <c r="DR289" s="53">
        <f t="shared" si="135"/>
        <v>0</v>
      </c>
      <c r="DS289" s="53">
        <f t="shared" si="135"/>
        <v>0</v>
      </c>
      <c r="DT289" s="53">
        <f t="shared" si="135"/>
        <v>0</v>
      </c>
      <c r="DU289" s="53">
        <f t="shared" si="135"/>
        <v>0</v>
      </c>
      <c r="DV289" s="54">
        <f t="shared" si="129"/>
        <v>0</v>
      </c>
      <c r="DW289" s="48"/>
    </row>
    <row r="290" spans="1:127" s="6" customFormat="1" ht="12" thickTop="1">
      <c r="A290" s="213" t="s">
        <v>107</v>
      </c>
      <c r="B290" s="24"/>
      <c r="C290" s="39">
        <f t="shared" ref="C290:R290" si="136">ROUND(IF(ISERROR(AVERAGE(C265:C288)),0,AVERAGE(C265:C288)),0)</f>
        <v>3</v>
      </c>
      <c r="D290" s="24">
        <f t="shared" si="136"/>
        <v>20</v>
      </c>
      <c r="E290" s="24">
        <f t="shared" si="136"/>
        <v>3</v>
      </c>
      <c r="F290" s="24">
        <f t="shared" si="136"/>
        <v>0</v>
      </c>
      <c r="G290" s="24">
        <f t="shared" si="136"/>
        <v>2</v>
      </c>
      <c r="H290" s="24">
        <f t="shared" si="136"/>
        <v>1</v>
      </c>
      <c r="I290" s="24">
        <f>ROUND(IF(ISERROR(AVERAGE(I265:I288)),0,AVERAGE(I265:I288)),0)</f>
        <v>0</v>
      </c>
      <c r="J290" s="24">
        <f t="shared" si="136"/>
        <v>17</v>
      </c>
      <c r="K290" s="24">
        <f t="shared" si="136"/>
        <v>0</v>
      </c>
      <c r="L290" s="24">
        <f t="shared" si="136"/>
        <v>0</v>
      </c>
      <c r="M290" s="24"/>
      <c r="N290" s="24"/>
      <c r="O290" s="24">
        <f>ROUND(IF(ISERROR(AVERAGE(O265:O288)),0,AVERAGE(O265:O288)),0)</f>
        <v>15</v>
      </c>
      <c r="P290" s="24">
        <f t="shared" si="136"/>
        <v>1</v>
      </c>
      <c r="Q290" s="24">
        <f t="shared" si="136"/>
        <v>0</v>
      </c>
      <c r="R290" s="24">
        <f t="shared" si="136"/>
        <v>0</v>
      </c>
      <c r="S290" s="31">
        <f>SUM(C290:R290)</f>
        <v>62</v>
      </c>
      <c r="T290" s="24">
        <f>ROUND(IF(ISERROR(AVERAGE(T265:T288)),0,AVERAGE(T265:T288)),0)</f>
        <v>5</v>
      </c>
      <c r="U290" s="24">
        <f>ROUND(IF(ISERROR(AVERAGE(U265:U288)),0,AVERAGE(U265:U288)),0)</f>
        <v>0</v>
      </c>
      <c r="V290" s="24">
        <f>ROUND(IF(ISERROR(AVERAGE(V265:V288)),0,AVERAGE(V265:V288)),0)</f>
        <v>0</v>
      </c>
      <c r="W290" s="24">
        <f>ROUND(IF(ISERROR(AVERAGE(W265:W288)),0,AVERAGE(W265:W288)),0)</f>
        <v>1</v>
      </c>
      <c r="X290" s="40">
        <f>ROUND(IF(ISERROR(AVERAGE(X265:X288)),0,AVERAGE(X265:X288)),0)</f>
        <v>1</v>
      </c>
      <c r="Z290" s="39">
        <f>ROUND(IF(ISERROR(AVERAGE(Z265:Z288)),0,AVERAGE(Z265:Z288)),0)</f>
        <v>1282091</v>
      </c>
      <c r="AA290" s="24">
        <f>ROUND(IF(ISERROR(AVERAGE(AA265:AA288)),0,AVERAGE(AA265:AA288)),0)</f>
        <v>1120082</v>
      </c>
      <c r="AB290" s="24"/>
      <c r="AC290" s="39">
        <f>ROUND(IF(ISERROR(AVERAGE(AC265:AC288)),0,AVERAGE(AC265:AC288)),0)</f>
        <v>791014</v>
      </c>
      <c r="AD290" s="24">
        <f>ROUND(IF(ISERROR(AVERAGE(AD265:AD288)),0,AVERAGE(AD265:AD288)),0)</f>
        <v>1467514</v>
      </c>
      <c r="AE290" s="31">
        <f>SUM(AC290:AD290)</f>
        <v>2258528</v>
      </c>
      <c r="AG290" s="39">
        <f>ROUND(IF(ISERROR(AVERAGE(AG265:AG288)),0,AVERAGE(AG265:AG288)),0)</f>
        <v>89</v>
      </c>
      <c r="AH290" s="24">
        <f>ROUND(IF(ISERROR(AVERAGE(AH265:AH288)),0,AVERAGE(AH265:AH288)),0)</f>
        <v>38</v>
      </c>
      <c r="AI290" s="24">
        <f>ROUND(IF(ISERROR(AVERAGE(AI265:AI288)),0,AVERAGE(AI265:AI288)),0)</f>
        <v>144</v>
      </c>
      <c r="AJ290" s="40">
        <f>ROUND(IF(ISERROR(AVERAGE(AJ265:AJ288)),0,AVERAGE(AJ265:AJ288)),0)</f>
        <v>45</v>
      </c>
      <c r="AL290" s="39">
        <f>ROUND(IF(ISERROR(AVERAGE(AL265:AL288)),0,AVERAGE(AL265:AL288)),0)</f>
        <v>32</v>
      </c>
      <c r="AM290" s="24">
        <f>ROUND(IF(ISERROR(AVERAGE(AM265:AM288)),0,AVERAGE(AM265:AM288)),0)</f>
        <v>125</v>
      </c>
      <c r="AN290" s="31">
        <f>SUM(AL290:AM290)</f>
        <v>157</v>
      </c>
      <c r="AO290" s="24">
        <f>ROUND(IF(ISERROR(AVERAGE(AO265:AO288)),0,AVERAGE(AO265:AO288)),0)</f>
        <v>168</v>
      </c>
      <c r="AP290" s="24">
        <f>ROUND(IF(ISERROR(AVERAGE(AP265:AP288)),0,AVERAGE(AP265:AP288)),0)</f>
        <v>19</v>
      </c>
      <c r="AQ290" s="31">
        <f>SUM(AO290:AP290)</f>
        <v>187</v>
      </c>
      <c r="AR290" s="24">
        <f>ROUND(IF(ISERROR(AVERAGE(AR265:AR288)),0,AVERAGE(AR265:AR288)),0)</f>
        <v>0</v>
      </c>
      <c r="AS290" s="24">
        <f>ROUND(IF(ISERROR(AVERAGE(AS265:AS288)),0,AVERAGE(AS265:AS288)),0)</f>
        <v>0</v>
      </c>
      <c r="AT290" s="24">
        <f>ROUND(IF(ISERROR(AVERAGE(AT265:AT288)),0,AVERAGE(AT265:AT288)),0)</f>
        <v>0</v>
      </c>
      <c r="AU290" s="24">
        <f>ROUND(IF(ISERROR(AVERAGE(AU265:AU288)),0,AVERAGE(AU265:AU288)),0)</f>
        <v>0</v>
      </c>
      <c r="AV290" s="40">
        <f>ROUND(IF(ISERROR(AVERAGE(AV265:AV288)),0,AVERAGE(AV265:AV288)),0)</f>
        <v>0</v>
      </c>
      <c r="AX290" s="330"/>
      <c r="AY290" s="40"/>
      <c r="BA290" s="39">
        <f t="shared" ref="BA290:BM290" si="137">ROUND(IF(ISERROR(AVERAGE(BA265:BA288)),0,AVERAGE(BA265:BA288)),0)</f>
        <v>1625</v>
      </c>
      <c r="BB290" s="24">
        <f t="shared" si="137"/>
        <v>27240684</v>
      </c>
      <c r="BC290" s="24">
        <f t="shared" si="137"/>
        <v>19264853</v>
      </c>
      <c r="BD290" s="24"/>
      <c r="BE290" s="24">
        <f t="shared" si="137"/>
        <v>78</v>
      </c>
      <c r="BF290" s="24">
        <f t="shared" si="137"/>
        <v>4</v>
      </c>
      <c r="BG290" s="24">
        <f t="shared" si="137"/>
        <v>5</v>
      </c>
      <c r="BH290" s="31"/>
      <c r="BI290" s="24">
        <f t="shared" si="137"/>
        <v>2082258</v>
      </c>
      <c r="BJ290" s="340"/>
      <c r="BK290" s="340"/>
      <c r="BL290" s="305"/>
      <c r="BM290" s="40">
        <f t="shared" si="137"/>
        <v>0</v>
      </c>
      <c r="BO290" s="39">
        <f>ROUND(IF(ISERROR(AVERAGE(BO265:BO288)),0,AVERAGE(BO265:BO288)),0)</f>
        <v>0</v>
      </c>
      <c r="BP290" s="40">
        <f>ROUND(IF(ISERROR(AVERAGE(BP265:BP288)),0,AVERAGE(BP265:BP288)),0)</f>
        <v>149</v>
      </c>
      <c r="BR290" s="65" t="s">
        <v>108</v>
      </c>
      <c r="BS290" s="19"/>
      <c r="BT290" s="14"/>
      <c r="BV290" s="39">
        <f>ROUND(IF(ISERROR(AVERAGE(BV265:BV288)),0,AVERAGE(BV265:BV288)),0)</f>
        <v>0</v>
      </c>
      <c r="BW290" s="24">
        <f>ROUND(IF(ISERROR(AVERAGE(BW265:BW288)),0,AVERAGE(BW265:BW288)),0)</f>
        <v>0</v>
      </c>
      <c r="BX290" s="24">
        <f t="shared" ref="BX290:DU290" si="138">ROUND(IF(ISERROR(AVERAGE(BX265:BX288)),0,AVERAGE(BX265:BX288)),0)</f>
        <v>0</v>
      </c>
      <c r="BY290" s="24">
        <f t="shared" si="138"/>
        <v>0</v>
      </c>
      <c r="BZ290" s="24">
        <f t="shared" si="138"/>
        <v>0</v>
      </c>
      <c r="CA290" s="24">
        <f t="shared" si="138"/>
        <v>0</v>
      </c>
      <c r="CB290" s="24">
        <f t="shared" si="138"/>
        <v>0</v>
      </c>
      <c r="CC290" s="24">
        <f t="shared" si="138"/>
        <v>0</v>
      </c>
      <c r="CD290" s="24">
        <f t="shared" si="138"/>
        <v>0</v>
      </c>
      <c r="CE290" s="24">
        <f t="shared" si="138"/>
        <v>0</v>
      </c>
      <c r="CF290" s="24">
        <f t="shared" si="138"/>
        <v>0</v>
      </c>
      <c r="CG290" s="24">
        <f t="shared" si="138"/>
        <v>0</v>
      </c>
      <c r="CH290" s="24">
        <f t="shared" si="138"/>
        <v>0</v>
      </c>
      <c r="CI290" s="24">
        <f t="shared" si="138"/>
        <v>0</v>
      </c>
      <c r="CJ290" s="24">
        <f t="shared" si="138"/>
        <v>0</v>
      </c>
      <c r="CK290" s="24">
        <f t="shared" si="138"/>
        <v>0</v>
      </c>
      <c r="CL290" s="24">
        <f t="shared" si="138"/>
        <v>0</v>
      </c>
      <c r="CM290" s="24">
        <f t="shared" si="138"/>
        <v>0</v>
      </c>
      <c r="CN290" s="24">
        <f t="shared" si="138"/>
        <v>0</v>
      </c>
      <c r="CO290" s="24">
        <f t="shared" si="138"/>
        <v>0</v>
      </c>
      <c r="CP290" s="24">
        <f t="shared" si="138"/>
        <v>0</v>
      </c>
      <c r="CQ290" s="24">
        <f t="shared" si="138"/>
        <v>0</v>
      </c>
      <c r="CR290" s="24">
        <f t="shared" si="138"/>
        <v>0</v>
      </c>
      <c r="CS290" s="24">
        <f t="shared" si="138"/>
        <v>0</v>
      </c>
      <c r="CT290" s="24">
        <f t="shared" si="138"/>
        <v>0</v>
      </c>
      <c r="CU290" s="24">
        <f t="shared" si="138"/>
        <v>0</v>
      </c>
      <c r="CV290" s="24">
        <f t="shared" si="138"/>
        <v>0</v>
      </c>
      <c r="CW290" s="24">
        <f t="shared" si="138"/>
        <v>0</v>
      </c>
      <c r="CX290" s="24">
        <f t="shared" si="138"/>
        <v>0</v>
      </c>
      <c r="CY290" s="24">
        <f t="shared" si="138"/>
        <v>0</v>
      </c>
      <c r="CZ290" s="24">
        <f t="shared" si="138"/>
        <v>0</v>
      </c>
      <c r="DA290" s="24">
        <f t="shared" si="138"/>
        <v>0</v>
      </c>
      <c r="DB290" s="24">
        <f t="shared" si="138"/>
        <v>0</v>
      </c>
      <c r="DC290" s="24">
        <f t="shared" si="138"/>
        <v>0</v>
      </c>
      <c r="DD290" s="24">
        <f t="shared" si="138"/>
        <v>0</v>
      </c>
      <c r="DE290" s="24">
        <f t="shared" si="138"/>
        <v>0</v>
      </c>
      <c r="DF290" s="24">
        <f t="shared" si="138"/>
        <v>0</v>
      </c>
      <c r="DG290" s="24">
        <f t="shared" si="138"/>
        <v>0</v>
      </c>
      <c r="DH290" s="24">
        <f t="shared" si="138"/>
        <v>0</v>
      </c>
      <c r="DI290" s="24">
        <f t="shared" si="138"/>
        <v>0</v>
      </c>
      <c r="DJ290" s="24">
        <f t="shared" si="138"/>
        <v>0</v>
      </c>
      <c r="DK290" s="24">
        <f t="shared" si="138"/>
        <v>0</v>
      </c>
      <c r="DL290" s="24">
        <f t="shared" si="138"/>
        <v>0</v>
      </c>
      <c r="DM290" s="24">
        <f t="shared" si="138"/>
        <v>0</v>
      </c>
      <c r="DN290" s="24">
        <f t="shared" si="138"/>
        <v>0</v>
      </c>
      <c r="DO290" s="24">
        <f t="shared" si="138"/>
        <v>0</v>
      </c>
      <c r="DP290" s="24">
        <f t="shared" si="138"/>
        <v>0</v>
      </c>
      <c r="DQ290" s="24">
        <f t="shared" si="138"/>
        <v>0</v>
      </c>
      <c r="DR290" s="24">
        <f t="shared" si="138"/>
        <v>0</v>
      </c>
      <c r="DS290" s="24">
        <f t="shared" si="138"/>
        <v>0</v>
      </c>
      <c r="DT290" s="24">
        <f t="shared" si="138"/>
        <v>0</v>
      </c>
      <c r="DU290" s="24">
        <f t="shared" si="138"/>
        <v>0</v>
      </c>
      <c r="DV290" s="18"/>
      <c r="DW290" s="48"/>
    </row>
    <row r="291" spans="1:127" customFormat="1">
      <c r="A291" s="210" t="s">
        <v>109</v>
      </c>
      <c r="B291" s="211"/>
      <c r="C291" s="8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30">
        <f>MEDIAN(S265:S288)</f>
        <v>57</v>
      </c>
      <c r="T291" s="10"/>
      <c r="U291" s="10"/>
      <c r="V291" s="10"/>
      <c r="W291" s="10"/>
      <c r="X291" s="5"/>
      <c r="Y291" s="10"/>
      <c r="Z291" s="8"/>
      <c r="AA291" s="10">
        <f>IF(ISERROR(MEDIAN(AA265:AA288)),"",MEDIAN(AA265:AA288))</f>
        <v>860783</v>
      </c>
      <c r="AB291" s="10"/>
      <c r="AC291" s="8"/>
      <c r="AD291" s="10"/>
      <c r="AE291" s="30"/>
      <c r="AF291" s="10"/>
      <c r="AG291" s="8"/>
      <c r="AH291" s="10"/>
      <c r="AI291" s="10">
        <f>IF(ISERROR(MEDIAN(AI265:AI288)),"",MEDIAN(AI265:AI288))</f>
        <v>140</v>
      </c>
      <c r="AJ291" s="5">
        <f>IF(ISERROR(MEDIAN(AJ265:AJ288)),"",MEDIAN(AJ265:AJ288))</f>
        <v>44</v>
      </c>
      <c r="AK291" s="10"/>
      <c r="AL291" s="8"/>
      <c r="AM291" s="10"/>
      <c r="AN291" s="30"/>
      <c r="AO291" s="10"/>
      <c r="AP291" s="10"/>
      <c r="AQ291" s="30"/>
      <c r="AR291" s="10"/>
      <c r="AS291" s="10"/>
      <c r="AT291" s="10"/>
      <c r="AU291" s="10"/>
      <c r="AV291" s="5"/>
      <c r="AW291" s="10"/>
      <c r="AX291" s="326"/>
      <c r="AY291" s="5"/>
      <c r="AZ291" s="10"/>
      <c r="BA291" s="8">
        <f>IF(ISERROR(MEDIAN(BA265:BA288)),"",MEDIAN(BA265:BA288))</f>
        <v>1629</v>
      </c>
      <c r="BB291" s="10"/>
      <c r="BC291" s="10"/>
      <c r="BD291" s="10"/>
      <c r="BE291" s="10"/>
      <c r="BF291" s="10"/>
      <c r="BG291" s="10"/>
      <c r="BH291" s="30"/>
      <c r="BI291" s="10"/>
      <c r="BJ291" s="338"/>
      <c r="BK291" s="338"/>
      <c r="BL291" s="303"/>
      <c r="BM291" s="5"/>
      <c r="BN291" s="10"/>
      <c r="BO291" s="8"/>
      <c r="BP291" s="5"/>
      <c r="BQ291" s="10"/>
      <c r="BR291" s="65"/>
      <c r="BS291" s="19"/>
      <c r="BT291" s="14"/>
      <c r="BU291" s="10"/>
      <c r="BV291" s="8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5"/>
      <c r="DW291" s="21"/>
    </row>
    <row r="292" spans="1:127" customFormat="1" ht="12" thickBot="1">
      <c r="A292" s="214" t="s">
        <v>110</v>
      </c>
      <c r="B292" s="195"/>
      <c r="C292" s="41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32">
        <f>MODE(S265:S288)</f>
        <v>63</v>
      </c>
      <c r="T292" s="22"/>
      <c r="U292" s="22"/>
      <c r="V292" s="22"/>
      <c r="W292" s="22"/>
      <c r="X292" s="42"/>
      <c r="Y292" s="22"/>
      <c r="Z292" s="41"/>
      <c r="AA292" s="22"/>
      <c r="AB292" s="22"/>
      <c r="AC292" s="41"/>
      <c r="AD292" s="22"/>
      <c r="AE292" s="32"/>
      <c r="AF292" s="22"/>
      <c r="AG292" s="41"/>
      <c r="AH292" s="22"/>
      <c r="AI292" s="22">
        <f>IF(ISERROR(MODE(AI265:AI288)),"",MODE(AI265:AI288))</f>
        <v>138</v>
      </c>
      <c r="AJ292" s="42">
        <f>IF(ISERROR(MODE(AJ265:AJ288)),"",MODE(AJ265:AJ288))</f>
        <v>32</v>
      </c>
      <c r="AK292" s="22"/>
      <c r="AL292" s="41"/>
      <c r="AM292" s="22"/>
      <c r="AN292" s="32"/>
      <c r="AO292" s="22"/>
      <c r="AP292" s="22"/>
      <c r="AQ292" s="32"/>
      <c r="AR292" s="22"/>
      <c r="AS292" s="22"/>
      <c r="AT292" s="22"/>
      <c r="AU292" s="22"/>
      <c r="AV292" s="42"/>
      <c r="AW292" s="22"/>
      <c r="AX292" s="331"/>
      <c r="AY292" s="42"/>
      <c r="AZ292" s="22"/>
      <c r="BA292" s="41"/>
      <c r="BB292" s="22"/>
      <c r="BC292" s="22"/>
      <c r="BD292" s="22"/>
      <c r="BE292" s="22"/>
      <c r="BF292" s="22"/>
      <c r="BG292" s="22"/>
      <c r="BH292" s="32"/>
      <c r="BI292" s="22"/>
      <c r="BJ292" s="341"/>
      <c r="BK292" s="341"/>
      <c r="BL292" s="306"/>
      <c r="BM292" s="42"/>
      <c r="BN292" s="22"/>
      <c r="BO292" s="41"/>
      <c r="BP292" s="42"/>
      <c r="BQ292" s="22"/>
      <c r="BR292" s="66"/>
      <c r="BS292" s="51"/>
      <c r="BT292" s="67"/>
      <c r="BU292" s="22"/>
      <c r="BV292" s="41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42"/>
      <c r="DW292" s="23"/>
    </row>
    <row r="293" spans="1:127" customFormat="1" ht="12" thickBot="1">
      <c r="A293" s="194"/>
      <c r="B293" s="194"/>
      <c r="C293" s="8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30"/>
      <c r="T293" s="10"/>
      <c r="U293" s="10"/>
      <c r="V293" s="10"/>
      <c r="W293" s="10"/>
      <c r="X293" s="5"/>
      <c r="Z293" s="8"/>
      <c r="AA293" s="10"/>
      <c r="AB293" s="10"/>
      <c r="AC293" s="8"/>
      <c r="AD293" s="10"/>
      <c r="AE293" s="30"/>
      <c r="AG293" s="8"/>
      <c r="AH293" s="10"/>
      <c r="AI293" s="10"/>
      <c r="AJ293" s="5"/>
      <c r="AL293" s="8"/>
      <c r="AM293" s="10"/>
      <c r="AN293" s="30"/>
      <c r="AO293" s="10"/>
      <c r="AP293" s="10"/>
      <c r="AQ293" s="30"/>
      <c r="AR293" s="10"/>
      <c r="AS293" s="10"/>
      <c r="AT293" s="10"/>
      <c r="AU293" s="10"/>
      <c r="AV293" s="5"/>
      <c r="AX293" s="326"/>
      <c r="AY293" s="5"/>
      <c r="AZ293" s="324"/>
      <c r="BA293" s="358"/>
      <c r="BB293" s="359"/>
      <c r="BC293" s="359"/>
      <c r="BD293" s="359"/>
      <c r="BE293" s="359"/>
      <c r="BF293" s="359"/>
      <c r="BG293" s="359"/>
      <c r="BH293" s="360"/>
      <c r="BI293" s="359"/>
      <c r="BJ293" s="361"/>
      <c r="BK293" s="361"/>
      <c r="BL293" s="362"/>
      <c r="BM293" s="363"/>
      <c r="BN293" s="359"/>
      <c r="BO293" s="358"/>
      <c r="BP293" s="363"/>
      <c r="BR293" s="65"/>
      <c r="BS293" s="19"/>
      <c r="BT293" s="14"/>
      <c r="BV293" s="8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5"/>
    </row>
    <row r="294" spans="1:127" customFormat="1">
      <c r="A294" s="208">
        <v>35612</v>
      </c>
      <c r="B294" s="209"/>
      <c r="C294" s="36">
        <v>2</v>
      </c>
      <c r="D294" s="9">
        <v>29</v>
      </c>
      <c r="E294" s="9">
        <v>1</v>
      </c>
      <c r="F294" s="9">
        <v>0</v>
      </c>
      <c r="G294" s="9">
        <v>0</v>
      </c>
      <c r="H294" s="9">
        <v>1</v>
      </c>
      <c r="I294" s="9">
        <v>0</v>
      </c>
      <c r="J294" s="9">
        <v>32</v>
      </c>
      <c r="K294" s="9">
        <v>0</v>
      </c>
      <c r="L294" s="9">
        <v>1</v>
      </c>
      <c r="M294" s="9"/>
      <c r="N294" s="9"/>
      <c r="O294" s="9">
        <v>67</v>
      </c>
      <c r="P294" s="9">
        <v>1</v>
      </c>
      <c r="Q294" s="9">
        <v>0</v>
      </c>
      <c r="R294" s="9">
        <v>0</v>
      </c>
      <c r="S294" s="33">
        <f t="shared" ref="S294:S317" si="139">SUM(C294:R294)</f>
        <v>134</v>
      </c>
      <c r="T294" s="9">
        <v>1</v>
      </c>
      <c r="U294" s="9"/>
      <c r="V294" s="9"/>
      <c r="W294" s="9">
        <v>0</v>
      </c>
      <c r="X294" s="37">
        <v>0</v>
      </c>
      <c r="Y294" s="9"/>
      <c r="Z294" s="36">
        <v>1182429</v>
      </c>
      <c r="AA294" s="9">
        <v>2154978</v>
      </c>
      <c r="AB294" s="9"/>
      <c r="AC294" s="36">
        <v>1597761</v>
      </c>
      <c r="AD294" s="9">
        <v>2642577</v>
      </c>
      <c r="AE294" s="33">
        <f t="shared" ref="AE294:AE317" si="140">SUM(AC294:AD294)</f>
        <v>4240338</v>
      </c>
      <c r="AF294" s="9"/>
      <c r="AG294" s="36">
        <v>91</v>
      </c>
      <c r="AH294" s="9">
        <v>30</v>
      </c>
      <c r="AI294" s="9">
        <v>136</v>
      </c>
      <c r="AJ294" s="37">
        <v>36</v>
      </c>
      <c r="AK294" s="9"/>
      <c r="AL294" s="36">
        <v>32</v>
      </c>
      <c r="AM294" s="9">
        <v>100</v>
      </c>
      <c r="AN294" s="33">
        <f>SUM(AL294:AM294)</f>
        <v>132</v>
      </c>
      <c r="AO294" s="9">
        <v>138</v>
      </c>
      <c r="AP294" s="9">
        <v>15</v>
      </c>
      <c r="AQ294" s="33">
        <f>SUM(AO294:AP294)</f>
        <v>153</v>
      </c>
      <c r="AR294" s="92"/>
      <c r="AS294" s="92"/>
      <c r="AT294" s="92"/>
      <c r="AU294" s="92"/>
      <c r="AV294" s="93"/>
      <c r="AW294" s="9"/>
      <c r="AX294" s="325"/>
      <c r="AY294" s="37"/>
      <c r="AZ294" s="9"/>
      <c r="BA294" s="8">
        <v>1616</v>
      </c>
      <c r="BB294" s="356">
        <v>27390740</v>
      </c>
      <c r="BC294" s="356"/>
      <c r="BD294" s="356"/>
      <c r="BE294" s="356">
        <v>371</v>
      </c>
      <c r="BF294" s="356">
        <v>5</v>
      </c>
      <c r="BG294" s="5">
        <v>12</v>
      </c>
      <c r="BH294" s="356"/>
      <c r="BI294" s="8">
        <v>7562934</v>
      </c>
      <c r="BJ294" s="356"/>
      <c r="BK294" s="356"/>
      <c r="BL294" s="356"/>
      <c r="BM294" s="5"/>
      <c r="BN294" s="10"/>
      <c r="BO294" s="8"/>
      <c r="BP294" s="5">
        <v>152</v>
      </c>
      <c r="BQ294" s="9"/>
      <c r="BR294" s="74">
        <v>1998</v>
      </c>
      <c r="BS294" s="75">
        <v>1997</v>
      </c>
      <c r="BT294" s="13">
        <v>13</v>
      </c>
      <c r="BU294" s="9"/>
      <c r="BV294" s="36"/>
      <c r="BW294" s="9"/>
      <c r="BX294" s="9"/>
      <c r="BY294" s="9"/>
      <c r="BZ294" s="9"/>
      <c r="CA294" s="9"/>
      <c r="CB294" s="9"/>
      <c r="CC294" s="223"/>
      <c r="CD294" s="9"/>
      <c r="CE294" s="220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220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44">
        <f t="shared" ref="DV294:DV318" si="141">SUM(BV294:DU294)</f>
        <v>0</v>
      </c>
      <c r="DW294" s="13" t="str">
        <f t="shared" ref="DW294:DW317" si="142">IF(DV294=S294,"","PROB")</f>
        <v>PROB</v>
      </c>
    </row>
    <row r="295" spans="1:127" customFormat="1">
      <c r="A295" s="210">
        <v>35626</v>
      </c>
      <c r="B295" s="211"/>
      <c r="C295" s="8">
        <v>1</v>
      </c>
      <c r="D295" s="10">
        <v>53</v>
      </c>
      <c r="E295" s="10">
        <v>2</v>
      </c>
      <c r="F295" s="10">
        <v>0</v>
      </c>
      <c r="G295" s="10">
        <v>2</v>
      </c>
      <c r="H295" s="10">
        <v>4</v>
      </c>
      <c r="I295" s="10">
        <v>0</v>
      </c>
      <c r="J295" s="10">
        <v>71</v>
      </c>
      <c r="K295" s="10">
        <v>0</v>
      </c>
      <c r="L295" s="10">
        <v>1</v>
      </c>
      <c r="M295" s="10"/>
      <c r="N295" s="10"/>
      <c r="O295" s="10">
        <v>21</v>
      </c>
      <c r="P295" s="10">
        <v>1</v>
      </c>
      <c r="Q295" s="10">
        <v>0</v>
      </c>
      <c r="R295" s="10">
        <v>0</v>
      </c>
      <c r="S295" s="35">
        <f t="shared" si="139"/>
        <v>156</v>
      </c>
      <c r="T295" s="10">
        <v>0</v>
      </c>
      <c r="U295" s="59">
        <v>35</v>
      </c>
      <c r="V295" s="59"/>
      <c r="W295" s="10">
        <v>2</v>
      </c>
      <c r="X295" s="5">
        <v>1</v>
      </c>
      <c r="Y295" s="10"/>
      <c r="Z295" s="8">
        <v>1421059</v>
      </c>
      <c r="AA295" s="10">
        <v>2311058</v>
      </c>
      <c r="AB295" s="10"/>
      <c r="AC295" s="61">
        <v>416864</v>
      </c>
      <c r="AD295" s="59">
        <v>3496795</v>
      </c>
      <c r="AE295" s="35">
        <f t="shared" si="140"/>
        <v>3913659</v>
      </c>
      <c r="AF295" s="10"/>
      <c r="AG295" s="8">
        <v>190</v>
      </c>
      <c r="AH295" s="10">
        <v>1</v>
      </c>
      <c r="AI295" s="10">
        <v>208</v>
      </c>
      <c r="AJ295" s="5">
        <v>60</v>
      </c>
      <c r="AK295" s="10"/>
      <c r="AL295" s="8"/>
      <c r="AM295" s="10"/>
      <c r="AN295" s="35"/>
      <c r="AO295" s="10"/>
      <c r="AP295" s="10"/>
      <c r="AQ295" s="35"/>
      <c r="AR295" s="59"/>
      <c r="AS295" s="59"/>
      <c r="AT295" s="59"/>
      <c r="AU295" s="59"/>
      <c r="AV295" s="62"/>
      <c r="AW295" s="10"/>
      <c r="AX295" s="326"/>
      <c r="AY295" s="5"/>
      <c r="AZ295" s="10"/>
      <c r="BA295" s="8"/>
      <c r="BB295" s="10"/>
      <c r="BC295" s="10"/>
      <c r="BD295" s="10"/>
      <c r="BE295" s="10"/>
      <c r="BF295" s="10"/>
      <c r="BG295" s="10"/>
      <c r="BH295" s="30"/>
      <c r="BI295" s="10"/>
      <c r="BJ295" s="338"/>
      <c r="BK295" s="338"/>
      <c r="BL295" s="303"/>
      <c r="BM295" s="5"/>
      <c r="BN295" s="10"/>
      <c r="BO295" s="8"/>
      <c r="BP295" s="5"/>
      <c r="BQ295" s="10"/>
      <c r="BR295" s="29">
        <v>1998</v>
      </c>
      <c r="BS295" s="64">
        <v>1997</v>
      </c>
      <c r="BT295" s="14">
        <v>14</v>
      </c>
      <c r="BU295" s="10"/>
      <c r="BV295" s="8"/>
      <c r="BW295" s="10"/>
      <c r="BX295" s="10"/>
      <c r="BY295" s="10"/>
      <c r="BZ295" s="10"/>
      <c r="CA295" s="10"/>
      <c r="CB295" s="10"/>
      <c r="CC295" s="221"/>
      <c r="CD295" s="10"/>
      <c r="CE295" s="317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317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38">
        <f t="shared" si="141"/>
        <v>0</v>
      </c>
      <c r="DW295" s="14" t="str">
        <f t="shared" si="142"/>
        <v>PROB</v>
      </c>
    </row>
    <row r="296" spans="1:127" customFormat="1">
      <c r="A296" s="210">
        <v>35643</v>
      </c>
      <c r="B296" s="211"/>
      <c r="C296" s="8">
        <v>3</v>
      </c>
      <c r="D296" s="10">
        <v>17</v>
      </c>
      <c r="E296" s="10">
        <v>1</v>
      </c>
      <c r="F296" s="10">
        <v>1</v>
      </c>
      <c r="G296" s="10">
        <v>5</v>
      </c>
      <c r="H296" s="10">
        <v>3</v>
      </c>
      <c r="I296" s="10">
        <v>0</v>
      </c>
      <c r="J296" s="10">
        <v>16</v>
      </c>
      <c r="K296" s="10">
        <v>0</v>
      </c>
      <c r="L296" s="10">
        <v>3</v>
      </c>
      <c r="M296" s="10"/>
      <c r="N296" s="10"/>
      <c r="O296" s="10">
        <v>68</v>
      </c>
      <c r="P296" s="10">
        <v>0</v>
      </c>
      <c r="Q296" s="10">
        <v>1</v>
      </c>
      <c r="R296" s="10">
        <v>0</v>
      </c>
      <c r="S296" s="35">
        <f t="shared" si="139"/>
        <v>118</v>
      </c>
      <c r="T296" s="10">
        <v>0</v>
      </c>
      <c r="U296" s="59">
        <v>3</v>
      </c>
      <c r="V296" s="59"/>
      <c r="W296" s="10">
        <v>0</v>
      </c>
      <c r="X296" s="5">
        <v>2</v>
      </c>
      <c r="Y296" s="10"/>
      <c r="Z296" s="8">
        <v>886014</v>
      </c>
      <c r="AA296" s="10">
        <v>2052856</v>
      </c>
      <c r="AB296" s="10"/>
      <c r="AC296" s="61">
        <v>1202948</v>
      </c>
      <c r="AD296" s="59">
        <v>3030946</v>
      </c>
      <c r="AE296" s="35">
        <f t="shared" si="140"/>
        <v>4233894</v>
      </c>
      <c r="AF296" s="10"/>
      <c r="AG296" s="8">
        <v>115</v>
      </c>
      <c r="AH296" s="10">
        <v>1</v>
      </c>
      <c r="AI296" s="10">
        <v>132</v>
      </c>
      <c r="AJ296" s="5">
        <v>36</v>
      </c>
      <c r="AK296" s="10"/>
      <c r="AL296" s="8"/>
      <c r="AM296" s="10"/>
      <c r="AN296" s="35"/>
      <c r="AO296" s="10"/>
      <c r="AP296" s="10"/>
      <c r="AQ296" s="35"/>
      <c r="AR296" s="59"/>
      <c r="AS296" s="59"/>
      <c r="AT296" s="59"/>
      <c r="AU296" s="59"/>
      <c r="AV296" s="62"/>
      <c r="AW296" s="10"/>
      <c r="AX296" s="326"/>
      <c r="AY296" s="5"/>
      <c r="AZ296" s="10"/>
      <c r="BA296" s="8">
        <v>1616</v>
      </c>
      <c r="BB296" s="10">
        <v>27331825</v>
      </c>
      <c r="BC296" s="10">
        <v>19318784</v>
      </c>
      <c r="BD296" s="10"/>
      <c r="BE296" s="10">
        <v>99</v>
      </c>
      <c r="BF296" s="10">
        <v>12</v>
      </c>
      <c r="BG296" s="10">
        <v>9</v>
      </c>
      <c r="BH296" s="30"/>
      <c r="BI296" s="10">
        <v>3109487</v>
      </c>
      <c r="BJ296" s="338"/>
      <c r="BK296" s="338"/>
      <c r="BL296" s="303"/>
      <c r="BM296" s="5"/>
      <c r="BN296" s="10"/>
      <c r="BO296" s="8"/>
      <c r="BP296" s="5"/>
      <c r="BQ296" s="10"/>
      <c r="BR296" s="29">
        <v>1998</v>
      </c>
      <c r="BS296" s="64">
        <v>1997</v>
      </c>
      <c r="BT296" s="14">
        <v>15</v>
      </c>
      <c r="BU296" s="10"/>
      <c r="BV296" s="8"/>
      <c r="BW296" s="10"/>
      <c r="BX296" s="10"/>
      <c r="BY296" s="10"/>
      <c r="BZ296" s="10"/>
      <c r="CA296" s="10"/>
      <c r="CB296" s="10"/>
      <c r="CC296" s="221"/>
      <c r="CD296" s="10"/>
      <c r="CE296" s="317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317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38">
        <f t="shared" si="141"/>
        <v>0</v>
      </c>
      <c r="DW296" s="14" t="str">
        <f t="shared" si="142"/>
        <v>PROB</v>
      </c>
    </row>
    <row r="297" spans="1:127" customFormat="1">
      <c r="A297" s="210">
        <v>35657</v>
      </c>
      <c r="B297" s="211"/>
      <c r="C297" s="8">
        <v>2</v>
      </c>
      <c r="D297" s="10">
        <v>16</v>
      </c>
      <c r="E297" s="10">
        <v>1</v>
      </c>
      <c r="F297" s="10">
        <v>0</v>
      </c>
      <c r="G297" s="10">
        <v>0</v>
      </c>
      <c r="H297" s="10">
        <v>0</v>
      </c>
      <c r="I297" s="10">
        <v>0</v>
      </c>
      <c r="J297" s="10">
        <v>9</v>
      </c>
      <c r="K297" s="10">
        <v>0</v>
      </c>
      <c r="L297" s="10">
        <v>0</v>
      </c>
      <c r="M297" s="10"/>
      <c r="N297" s="10"/>
      <c r="O297" s="10">
        <v>14</v>
      </c>
      <c r="P297" s="10">
        <v>0</v>
      </c>
      <c r="Q297" s="10">
        <v>1</v>
      </c>
      <c r="R297" s="10">
        <v>0</v>
      </c>
      <c r="S297" s="35">
        <f t="shared" si="139"/>
        <v>43</v>
      </c>
      <c r="T297" s="10">
        <v>1</v>
      </c>
      <c r="U297" s="59">
        <v>1</v>
      </c>
      <c r="V297" s="59"/>
      <c r="W297" s="10">
        <v>0</v>
      </c>
      <c r="X297" s="5">
        <v>1</v>
      </c>
      <c r="Y297" s="10"/>
      <c r="Z297" s="8">
        <v>1292433</v>
      </c>
      <c r="AA297" s="10">
        <v>907543</v>
      </c>
      <c r="AB297" s="10"/>
      <c r="AC297" s="61">
        <v>748711</v>
      </c>
      <c r="AD297" s="59">
        <v>1154137</v>
      </c>
      <c r="AE297" s="35">
        <f t="shared" si="140"/>
        <v>1902848</v>
      </c>
      <c r="AF297" s="10"/>
      <c r="AG297" s="8">
        <v>77</v>
      </c>
      <c r="AH297" s="10">
        <v>46</v>
      </c>
      <c r="AI297" s="10">
        <v>140</v>
      </c>
      <c r="AJ297" s="5">
        <v>20</v>
      </c>
      <c r="AK297" s="10"/>
      <c r="AL297" s="8"/>
      <c r="AM297" s="10"/>
      <c r="AN297" s="35"/>
      <c r="AO297" s="10"/>
      <c r="AP297" s="10"/>
      <c r="AQ297" s="35"/>
      <c r="AR297" s="59"/>
      <c r="AS297" s="59"/>
      <c r="AT297" s="59"/>
      <c r="AU297" s="59"/>
      <c r="AV297" s="62"/>
      <c r="AW297" s="10"/>
      <c r="AX297" s="326"/>
      <c r="AY297" s="5"/>
      <c r="AZ297" s="10"/>
      <c r="BA297" s="8"/>
      <c r="BB297" s="10"/>
      <c r="BC297" s="10"/>
      <c r="BD297" s="10"/>
      <c r="BE297" s="10"/>
      <c r="BF297" s="10"/>
      <c r="BG297" s="10"/>
      <c r="BH297" s="30"/>
      <c r="BI297" s="10"/>
      <c r="BJ297" s="338"/>
      <c r="BK297" s="338"/>
      <c r="BL297" s="303"/>
      <c r="BM297" s="5"/>
      <c r="BN297" s="10"/>
      <c r="BO297" s="8"/>
      <c r="BP297" s="5"/>
      <c r="BQ297" s="10"/>
      <c r="BR297" s="29">
        <v>1998</v>
      </c>
      <c r="BS297" s="64">
        <v>1997</v>
      </c>
      <c r="BT297" s="14">
        <v>16</v>
      </c>
      <c r="BU297" s="10"/>
      <c r="BV297" s="8"/>
      <c r="BW297" s="10"/>
      <c r="BX297" s="10"/>
      <c r="BY297" s="10"/>
      <c r="BZ297" s="10"/>
      <c r="CA297" s="10"/>
      <c r="CB297" s="10"/>
      <c r="CC297" s="221"/>
      <c r="CD297" s="10"/>
      <c r="CE297" s="317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317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38">
        <f t="shared" si="141"/>
        <v>0</v>
      </c>
      <c r="DW297" s="14" t="str">
        <f t="shared" si="142"/>
        <v>PROB</v>
      </c>
    </row>
    <row r="298" spans="1:127" customFormat="1">
      <c r="A298" s="210">
        <v>35674</v>
      </c>
      <c r="B298" s="211"/>
      <c r="C298" s="8">
        <v>7</v>
      </c>
      <c r="D298" s="10">
        <v>11</v>
      </c>
      <c r="E298" s="10">
        <v>1</v>
      </c>
      <c r="F298" s="10">
        <v>2</v>
      </c>
      <c r="G298" s="10">
        <v>1</v>
      </c>
      <c r="H298" s="10">
        <v>1</v>
      </c>
      <c r="I298" s="10">
        <v>0</v>
      </c>
      <c r="J298" s="10">
        <v>12</v>
      </c>
      <c r="K298" s="10">
        <v>0</v>
      </c>
      <c r="L298" s="10">
        <v>1</v>
      </c>
      <c r="M298" s="10"/>
      <c r="N298" s="10"/>
      <c r="O298" s="10">
        <v>8</v>
      </c>
      <c r="P298" s="10">
        <v>0</v>
      </c>
      <c r="Q298" s="10">
        <v>0</v>
      </c>
      <c r="R298" s="10">
        <v>0</v>
      </c>
      <c r="S298" s="35">
        <f t="shared" si="139"/>
        <v>44</v>
      </c>
      <c r="T298" s="10">
        <v>0</v>
      </c>
      <c r="U298" s="59">
        <v>0</v>
      </c>
      <c r="V298" s="59"/>
      <c r="W298" s="10">
        <v>0</v>
      </c>
      <c r="X298" s="5">
        <v>2</v>
      </c>
      <c r="Y298" s="10"/>
      <c r="Z298" s="8">
        <v>1134299</v>
      </c>
      <c r="AA298" s="10">
        <v>910638</v>
      </c>
      <c r="AB298" s="10"/>
      <c r="AC298" s="61">
        <v>473518</v>
      </c>
      <c r="AD298" s="59">
        <v>1730512</v>
      </c>
      <c r="AE298" s="35">
        <f t="shared" si="140"/>
        <v>2204030</v>
      </c>
      <c r="AF298" s="10"/>
      <c r="AG298" s="8">
        <v>68</v>
      </c>
      <c r="AH298" s="10">
        <v>51</v>
      </c>
      <c r="AI298" s="10">
        <v>138</v>
      </c>
      <c r="AJ298" s="5">
        <v>28</v>
      </c>
      <c r="AK298" s="10"/>
      <c r="AL298" s="8"/>
      <c r="AM298" s="10"/>
      <c r="AN298" s="35"/>
      <c r="AO298" s="10"/>
      <c r="AP298" s="10"/>
      <c r="AQ298" s="35"/>
      <c r="AR298" s="59"/>
      <c r="AS298" s="59"/>
      <c r="AT298" s="59"/>
      <c r="AU298" s="59"/>
      <c r="AV298" s="62"/>
      <c r="AW298" s="10"/>
      <c r="AX298" s="326"/>
      <c r="AY298" s="5"/>
      <c r="AZ298" s="10"/>
      <c r="BA298" s="8">
        <v>1615</v>
      </c>
      <c r="BB298" s="10">
        <v>27176156</v>
      </c>
      <c r="BC298" s="10">
        <v>19200000</v>
      </c>
      <c r="BD298" s="10"/>
      <c r="BE298" s="10">
        <v>45</v>
      </c>
      <c r="BF298" s="10">
        <v>3</v>
      </c>
      <c r="BG298" s="10">
        <v>3</v>
      </c>
      <c r="BH298" s="30"/>
      <c r="BI298" s="10">
        <v>1411565</v>
      </c>
      <c r="BJ298" s="338"/>
      <c r="BK298" s="338"/>
      <c r="BL298" s="303"/>
      <c r="BM298" s="5"/>
      <c r="BN298" s="10"/>
      <c r="BO298" s="8"/>
      <c r="BP298" s="5"/>
      <c r="BQ298" s="10"/>
      <c r="BR298" s="29">
        <v>1998</v>
      </c>
      <c r="BS298" s="64">
        <v>1997</v>
      </c>
      <c r="BT298" s="14">
        <v>17</v>
      </c>
      <c r="BU298" s="10"/>
      <c r="BV298" s="8"/>
      <c r="BW298" s="10"/>
      <c r="BX298" s="10"/>
      <c r="BY298" s="10"/>
      <c r="BZ298" s="10"/>
      <c r="CA298" s="10"/>
      <c r="CB298" s="10"/>
      <c r="CC298" s="221"/>
      <c r="CD298" s="10"/>
      <c r="CE298" s="317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317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38">
        <f t="shared" si="141"/>
        <v>0</v>
      </c>
      <c r="DW298" s="14" t="str">
        <f t="shared" si="142"/>
        <v>PROB</v>
      </c>
    </row>
    <row r="299" spans="1:127" customFormat="1">
      <c r="A299" s="210">
        <v>35688</v>
      </c>
      <c r="B299" s="211"/>
      <c r="C299" s="8">
        <v>3</v>
      </c>
      <c r="D299" s="10">
        <v>15</v>
      </c>
      <c r="E299" s="10">
        <v>7</v>
      </c>
      <c r="F299" s="10">
        <v>0</v>
      </c>
      <c r="G299" s="10">
        <v>12</v>
      </c>
      <c r="H299" s="10">
        <v>0</v>
      </c>
      <c r="I299" s="10">
        <v>0</v>
      </c>
      <c r="J299" s="10">
        <v>11</v>
      </c>
      <c r="K299" s="10">
        <v>0</v>
      </c>
      <c r="L299" s="10">
        <v>0</v>
      </c>
      <c r="M299" s="10"/>
      <c r="N299" s="10"/>
      <c r="O299" s="10">
        <v>6</v>
      </c>
      <c r="P299" s="10">
        <v>1</v>
      </c>
      <c r="Q299" s="10">
        <v>0</v>
      </c>
      <c r="R299" s="10">
        <v>0</v>
      </c>
      <c r="S299" s="35">
        <f t="shared" si="139"/>
        <v>55</v>
      </c>
      <c r="T299" s="10">
        <v>0</v>
      </c>
      <c r="U299" s="59">
        <v>3</v>
      </c>
      <c r="V299" s="59"/>
      <c r="W299" s="10">
        <v>0</v>
      </c>
      <c r="X299" s="5">
        <v>0</v>
      </c>
      <c r="Y299" s="10"/>
      <c r="Z299" s="8">
        <v>1093121</v>
      </c>
      <c r="AA299" s="10">
        <v>1305833</v>
      </c>
      <c r="AB299" s="10"/>
      <c r="AC299" s="61">
        <v>1063446</v>
      </c>
      <c r="AD299" s="59">
        <v>1536383</v>
      </c>
      <c r="AE299" s="35">
        <f t="shared" si="140"/>
        <v>2599829</v>
      </c>
      <c r="AF299" s="10"/>
      <c r="AG299" s="8">
        <v>145</v>
      </c>
      <c r="AH299" s="10">
        <v>1</v>
      </c>
      <c r="AI299" s="10">
        <v>158</v>
      </c>
      <c r="AJ299" s="5">
        <v>32</v>
      </c>
      <c r="AK299" s="10"/>
      <c r="AL299" s="8"/>
      <c r="AM299" s="10"/>
      <c r="AN299" s="35"/>
      <c r="AO299" s="10"/>
      <c r="AP299" s="10"/>
      <c r="AQ299" s="35"/>
      <c r="AR299" s="59"/>
      <c r="AS299" s="59"/>
      <c r="AT299" s="59"/>
      <c r="AU299" s="59"/>
      <c r="AV299" s="62"/>
      <c r="AW299" s="10"/>
      <c r="AX299" s="326"/>
      <c r="AY299" s="5"/>
      <c r="AZ299" s="10"/>
      <c r="BA299" s="8"/>
      <c r="BB299" s="10"/>
      <c r="BC299" s="10"/>
      <c r="BD299" s="10"/>
      <c r="BE299" s="10"/>
      <c r="BF299" s="10"/>
      <c r="BG299" s="10"/>
      <c r="BH299" s="30"/>
      <c r="BI299" s="10"/>
      <c r="BJ299" s="338"/>
      <c r="BK299" s="338"/>
      <c r="BL299" s="303"/>
      <c r="BM299" s="5"/>
      <c r="BN299" s="10"/>
      <c r="BO299" s="8"/>
      <c r="BP299" s="5"/>
      <c r="BQ299" s="10"/>
      <c r="BR299" s="29">
        <v>1998</v>
      </c>
      <c r="BS299" s="64">
        <v>1997</v>
      </c>
      <c r="BT299" s="14">
        <v>18</v>
      </c>
      <c r="BU299" s="10"/>
      <c r="BV299" s="8"/>
      <c r="BW299" s="10"/>
      <c r="BX299" s="10"/>
      <c r="BY299" s="10"/>
      <c r="BZ299" s="10"/>
      <c r="CA299" s="10"/>
      <c r="CB299" s="10"/>
      <c r="CC299" s="221"/>
      <c r="CD299" s="10"/>
      <c r="CE299" s="317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317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38">
        <f t="shared" si="141"/>
        <v>0</v>
      </c>
      <c r="DW299" s="14" t="str">
        <f t="shared" si="142"/>
        <v>PROB</v>
      </c>
    </row>
    <row r="300" spans="1:127" customFormat="1">
      <c r="A300" s="210">
        <v>35704</v>
      </c>
      <c r="B300" s="211"/>
      <c r="C300" s="8">
        <v>2</v>
      </c>
      <c r="D300" s="10">
        <v>34</v>
      </c>
      <c r="E300" s="10">
        <v>0</v>
      </c>
      <c r="F300" s="10">
        <v>1</v>
      </c>
      <c r="G300" s="10">
        <v>3</v>
      </c>
      <c r="H300" s="10">
        <v>1</v>
      </c>
      <c r="I300" s="10">
        <v>0</v>
      </c>
      <c r="J300" s="10">
        <v>53</v>
      </c>
      <c r="K300" s="10">
        <v>0</v>
      </c>
      <c r="L300" s="10">
        <v>0</v>
      </c>
      <c r="M300" s="10"/>
      <c r="N300" s="10"/>
      <c r="O300" s="10">
        <v>13</v>
      </c>
      <c r="P300" s="10">
        <v>2</v>
      </c>
      <c r="Q300" s="10">
        <v>0</v>
      </c>
      <c r="R300" s="10">
        <v>0</v>
      </c>
      <c r="S300" s="35">
        <f t="shared" si="139"/>
        <v>109</v>
      </c>
      <c r="T300" s="10">
        <v>1</v>
      </c>
      <c r="U300" s="59">
        <v>4</v>
      </c>
      <c r="V300" s="59"/>
      <c r="W300" s="10">
        <v>0</v>
      </c>
      <c r="X300" s="5">
        <v>2</v>
      </c>
      <c r="Y300" s="10"/>
      <c r="Z300" s="8">
        <v>1044857</v>
      </c>
      <c r="AA300" s="10">
        <v>2349387</v>
      </c>
      <c r="AB300" s="10"/>
      <c r="AC300" s="61">
        <v>1277884</v>
      </c>
      <c r="AD300" s="59">
        <v>2668558</v>
      </c>
      <c r="AE300" s="35">
        <f t="shared" si="140"/>
        <v>3946442</v>
      </c>
      <c r="AF300" s="10"/>
      <c r="AG300" s="8">
        <v>131</v>
      </c>
      <c r="AH300" s="10">
        <v>1</v>
      </c>
      <c r="AI300" s="10">
        <v>148</v>
      </c>
      <c r="AJ300" s="5">
        <v>40</v>
      </c>
      <c r="AK300" s="10"/>
      <c r="AL300" s="8">
        <v>30</v>
      </c>
      <c r="AM300" s="59">
        <v>116</v>
      </c>
      <c r="AN300" s="35">
        <f>SUM(AL300:AM300)</f>
        <v>146</v>
      </c>
      <c r="AO300" s="59">
        <v>140</v>
      </c>
      <c r="AP300" s="59">
        <v>15</v>
      </c>
      <c r="AQ300" s="35">
        <f>SUM(AO300:AP300)</f>
        <v>155</v>
      </c>
      <c r="AR300" s="59"/>
      <c r="AS300" s="59"/>
      <c r="AT300" s="59"/>
      <c r="AU300" s="59"/>
      <c r="AV300" s="62"/>
      <c r="AW300" s="10"/>
      <c r="AX300" s="326"/>
      <c r="AY300" s="5"/>
      <c r="AZ300" s="10"/>
      <c r="BA300" s="8">
        <v>1620</v>
      </c>
      <c r="BB300" s="10">
        <v>27297103</v>
      </c>
      <c r="BC300" s="10">
        <v>19218432</v>
      </c>
      <c r="BD300" s="10"/>
      <c r="BE300" s="10">
        <v>181</v>
      </c>
      <c r="BF300" s="10">
        <v>5</v>
      </c>
      <c r="BG300" s="10">
        <v>0</v>
      </c>
      <c r="BH300" s="30"/>
      <c r="BI300" s="10">
        <v>3150402</v>
      </c>
      <c r="BJ300" s="338"/>
      <c r="BK300" s="338"/>
      <c r="BL300" s="303"/>
      <c r="BM300" s="5"/>
      <c r="BN300" s="10"/>
      <c r="BO300" s="8"/>
      <c r="BP300" s="5"/>
      <c r="BQ300" s="10"/>
      <c r="BR300" s="29">
        <v>1998</v>
      </c>
      <c r="BS300" s="64">
        <v>1997</v>
      </c>
      <c r="BT300" s="14">
        <v>19</v>
      </c>
      <c r="BU300" s="10"/>
      <c r="BV300" s="8"/>
      <c r="BW300" s="10"/>
      <c r="BX300" s="10"/>
      <c r="BY300" s="10"/>
      <c r="BZ300" s="10"/>
      <c r="CA300" s="10"/>
      <c r="CB300" s="10"/>
      <c r="CC300" s="221"/>
      <c r="CD300" s="10"/>
      <c r="CE300" s="317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317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38">
        <f t="shared" si="141"/>
        <v>0</v>
      </c>
      <c r="DW300" s="14" t="str">
        <f t="shared" si="142"/>
        <v>PROB</v>
      </c>
    </row>
    <row r="301" spans="1:127" customFormat="1">
      <c r="A301" s="210">
        <v>35718</v>
      </c>
      <c r="B301" s="211"/>
      <c r="C301" s="8">
        <v>3</v>
      </c>
      <c r="D301" s="10">
        <v>13</v>
      </c>
      <c r="E301" s="10">
        <v>0</v>
      </c>
      <c r="F301" s="10">
        <v>0</v>
      </c>
      <c r="G301" s="10">
        <v>0</v>
      </c>
      <c r="H301" s="10">
        <v>8</v>
      </c>
      <c r="I301" s="10">
        <v>0</v>
      </c>
      <c r="J301" s="10">
        <v>22</v>
      </c>
      <c r="K301" s="10">
        <v>21</v>
      </c>
      <c r="L301" s="10">
        <v>0</v>
      </c>
      <c r="M301" s="10"/>
      <c r="N301" s="10"/>
      <c r="O301" s="10">
        <v>10</v>
      </c>
      <c r="P301" s="10">
        <v>1</v>
      </c>
      <c r="Q301" s="10">
        <v>1</v>
      </c>
      <c r="R301" s="10">
        <v>0</v>
      </c>
      <c r="S301" s="35">
        <f t="shared" si="139"/>
        <v>79</v>
      </c>
      <c r="T301" s="10">
        <v>1</v>
      </c>
      <c r="U301" s="59">
        <v>4</v>
      </c>
      <c r="V301" s="59"/>
      <c r="W301" s="10">
        <v>0</v>
      </c>
      <c r="X301" s="5">
        <v>0</v>
      </c>
      <c r="Y301" s="10"/>
      <c r="Z301" s="8">
        <v>1365149</v>
      </c>
      <c r="AA301" s="10">
        <v>1165716</v>
      </c>
      <c r="AB301" s="10"/>
      <c r="AC301" s="61">
        <v>714933</v>
      </c>
      <c r="AD301" s="59">
        <v>1365259</v>
      </c>
      <c r="AE301" s="35">
        <f t="shared" si="140"/>
        <v>2080192</v>
      </c>
      <c r="AF301" s="10"/>
      <c r="AG301" s="8">
        <v>74</v>
      </c>
      <c r="AH301" s="10">
        <v>57</v>
      </c>
      <c r="AI301" s="10">
        <v>142</v>
      </c>
      <c r="AJ301" s="5">
        <v>32</v>
      </c>
      <c r="AK301" s="10"/>
      <c r="AL301" s="8"/>
      <c r="AM301" s="10"/>
      <c r="AN301" s="35"/>
      <c r="AO301" s="10"/>
      <c r="AP301" s="10"/>
      <c r="AQ301" s="35"/>
      <c r="AR301" s="59"/>
      <c r="AS301" s="59"/>
      <c r="AT301" s="59"/>
      <c r="AU301" s="59"/>
      <c r="AV301" s="62"/>
      <c r="AW301" s="10"/>
      <c r="AX301" s="326"/>
      <c r="AY301" s="5"/>
      <c r="AZ301" s="10"/>
      <c r="BA301" s="8"/>
      <c r="BB301" s="10"/>
      <c r="BC301" s="10"/>
      <c r="BD301" s="10"/>
      <c r="BE301" s="10"/>
      <c r="BF301" s="10"/>
      <c r="BG301" s="10"/>
      <c r="BH301" s="30"/>
      <c r="BI301" s="10"/>
      <c r="BJ301" s="338"/>
      <c r="BK301" s="338"/>
      <c r="BL301" s="303"/>
      <c r="BM301" s="5"/>
      <c r="BN301" s="10"/>
      <c r="BO301" s="8"/>
      <c r="BP301" s="5"/>
      <c r="BQ301" s="10"/>
      <c r="BR301" s="29">
        <v>1998</v>
      </c>
      <c r="BS301" s="64">
        <v>1997</v>
      </c>
      <c r="BT301" s="14">
        <v>20</v>
      </c>
      <c r="BU301" s="10"/>
      <c r="BV301" s="8"/>
      <c r="BW301" s="10"/>
      <c r="BX301" s="10"/>
      <c r="BY301" s="10"/>
      <c r="BZ301" s="10"/>
      <c r="CA301" s="10"/>
      <c r="CB301" s="10"/>
      <c r="CC301" s="221"/>
      <c r="CD301" s="10"/>
      <c r="CE301" s="317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317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38">
        <f t="shared" si="141"/>
        <v>0</v>
      </c>
      <c r="DW301" s="14" t="str">
        <f t="shared" si="142"/>
        <v>PROB</v>
      </c>
    </row>
    <row r="302" spans="1:127" customFormat="1">
      <c r="A302" s="210">
        <v>35735</v>
      </c>
      <c r="B302" s="211"/>
      <c r="C302" s="8">
        <v>8</v>
      </c>
      <c r="D302" s="10">
        <v>14</v>
      </c>
      <c r="E302" s="10">
        <v>33</v>
      </c>
      <c r="F302" s="10">
        <v>1</v>
      </c>
      <c r="G302" s="10">
        <v>2</v>
      </c>
      <c r="H302" s="10">
        <v>7</v>
      </c>
      <c r="I302" s="10">
        <v>0</v>
      </c>
      <c r="J302" s="10">
        <v>21</v>
      </c>
      <c r="K302" s="10">
        <v>0</v>
      </c>
      <c r="L302" s="10">
        <v>0</v>
      </c>
      <c r="M302" s="10"/>
      <c r="N302" s="10"/>
      <c r="O302" s="10">
        <v>5</v>
      </c>
      <c r="P302" s="10">
        <v>0</v>
      </c>
      <c r="Q302" s="10">
        <v>0</v>
      </c>
      <c r="R302" s="10">
        <v>0</v>
      </c>
      <c r="S302" s="35">
        <f t="shared" si="139"/>
        <v>91</v>
      </c>
      <c r="T302" s="10">
        <v>0</v>
      </c>
      <c r="U302" s="59">
        <v>11</v>
      </c>
      <c r="V302" s="59"/>
      <c r="W302" s="10">
        <v>34</v>
      </c>
      <c r="X302" s="5">
        <v>0</v>
      </c>
      <c r="Y302" s="10"/>
      <c r="Z302" s="8">
        <v>1448864</v>
      </c>
      <c r="AA302" s="10">
        <v>2242046</v>
      </c>
      <c r="AB302" s="10"/>
      <c r="AC302" s="61">
        <v>1818976</v>
      </c>
      <c r="AD302" s="59">
        <v>2377153</v>
      </c>
      <c r="AE302" s="35">
        <f t="shared" si="140"/>
        <v>4196129</v>
      </c>
      <c r="AF302" s="10"/>
      <c r="AG302" s="8">
        <v>203</v>
      </c>
      <c r="AH302" s="10">
        <v>1</v>
      </c>
      <c r="AI302" s="10">
        <v>218</v>
      </c>
      <c r="AJ302" s="5">
        <v>44</v>
      </c>
      <c r="AK302" s="10"/>
      <c r="AL302" s="8"/>
      <c r="AM302" s="10"/>
      <c r="AN302" s="35"/>
      <c r="AO302" s="10"/>
      <c r="AP302" s="10"/>
      <c r="AQ302" s="35"/>
      <c r="AR302" s="59"/>
      <c r="AS302" s="59"/>
      <c r="AT302" s="59"/>
      <c r="AU302" s="59"/>
      <c r="AV302" s="62"/>
      <c r="AW302" s="10"/>
      <c r="AX302" s="326"/>
      <c r="AY302" s="5"/>
      <c r="AZ302" s="10"/>
      <c r="BA302" s="8">
        <v>1614</v>
      </c>
      <c r="BB302" s="10">
        <v>27233528</v>
      </c>
      <c r="BC302" s="10">
        <v>19159040</v>
      </c>
      <c r="BD302" s="10"/>
      <c r="BE302" s="10">
        <v>118</v>
      </c>
      <c r="BF302" s="10">
        <v>4</v>
      </c>
      <c r="BG302" s="10">
        <v>8</v>
      </c>
      <c r="BH302" s="30"/>
      <c r="BI302" s="10">
        <v>3246702</v>
      </c>
      <c r="BJ302" s="338"/>
      <c r="BK302" s="338"/>
      <c r="BL302" s="303"/>
      <c r="BM302" s="5"/>
      <c r="BN302" s="10"/>
      <c r="BO302" s="8"/>
      <c r="BP302" s="5"/>
      <c r="BQ302" s="10"/>
      <c r="BR302" s="29">
        <v>1998</v>
      </c>
      <c r="BS302" s="64">
        <v>1997</v>
      </c>
      <c r="BT302" s="14">
        <v>21</v>
      </c>
      <c r="BU302" s="10"/>
      <c r="BV302" s="8"/>
      <c r="BW302" s="10"/>
      <c r="BX302" s="10"/>
      <c r="BY302" s="10"/>
      <c r="BZ302" s="10"/>
      <c r="CA302" s="10"/>
      <c r="CB302" s="10"/>
      <c r="CC302" s="221"/>
      <c r="CD302" s="10"/>
      <c r="CE302" s="317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317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38">
        <f t="shared" si="141"/>
        <v>0</v>
      </c>
      <c r="DW302" s="14" t="str">
        <f t="shared" si="142"/>
        <v>PROB</v>
      </c>
    </row>
    <row r="303" spans="1:127" customFormat="1">
      <c r="A303" s="210">
        <v>35749</v>
      </c>
      <c r="B303" s="211"/>
      <c r="C303" s="8">
        <v>3</v>
      </c>
      <c r="D303" s="10">
        <v>13</v>
      </c>
      <c r="E303" s="10">
        <v>2</v>
      </c>
      <c r="F303" s="10">
        <v>0</v>
      </c>
      <c r="G303" s="10">
        <v>5</v>
      </c>
      <c r="H303" s="10">
        <v>4</v>
      </c>
      <c r="I303" s="10">
        <v>0</v>
      </c>
      <c r="J303" s="10">
        <v>43</v>
      </c>
      <c r="K303" s="10">
        <v>0</v>
      </c>
      <c r="L303" s="10">
        <v>2</v>
      </c>
      <c r="M303" s="10"/>
      <c r="N303" s="10"/>
      <c r="O303" s="10">
        <v>17</v>
      </c>
      <c r="P303" s="10">
        <v>2</v>
      </c>
      <c r="Q303" s="10">
        <v>0</v>
      </c>
      <c r="R303" s="10">
        <v>0</v>
      </c>
      <c r="S303" s="35">
        <f t="shared" si="139"/>
        <v>91</v>
      </c>
      <c r="T303" s="10">
        <v>0</v>
      </c>
      <c r="U303" s="59">
        <v>3</v>
      </c>
      <c r="V303" s="59"/>
      <c r="W303" s="10">
        <v>0</v>
      </c>
      <c r="X303" s="5">
        <v>1</v>
      </c>
      <c r="Y303" s="10"/>
      <c r="Z303" s="8">
        <v>1118614</v>
      </c>
      <c r="AA303" s="10">
        <v>2083844</v>
      </c>
      <c r="AB303" s="10"/>
      <c r="AC303" s="61">
        <v>1205991</v>
      </c>
      <c r="AD303" s="59">
        <v>2222318</v>
      </c>
      <c r="AE303" s="35">
        <f t="shared" si="140"/>
        <v>3428309</v>
      </c>
      <c r="AF303" s="10"/>
      <c r="AG303" s="8">
        <v>158</v>
      </c>
      <c r="AH303" s="10">
        <v>1</v>
      </c>
      <c r="AI303" s="10">
        <v>170</v>
      </c>
      <c r="AJ303" s="5">
        <v>36</v>
      </c>
      <c r="AK303" s="10"/>
      <c r="AL303" s="8"/>
      <c r="AM303" s="10"/>
      <c r="AN303" s="35"/>
      <c r="AO303" s="10"/>
      <c r="AP303" s="10"/>
      <c r="AQ303" s="35"/>
      <c r="AR303" s="59"/>
      <c r="AS303" s="59"/>
      <c r="AT303" s="59"/>
      <c r="AU303" s="59"/>
      <c r="AV303" s="62"/>
      <c r="AW303" s="10"/>
      <c r="AX303" s="326"/>
      <c r="AY303" s="5"/>
      <c r="AZ303" s="10"/>
      <c r="BA303" s="8"/>
      <c r="BB303" s="10"/>
      <c r="BC303" s="10"/>
      <c r="BD303" s="10"/>
      <c r="BE303" s="10"/>
      <c r="BF303" s="10"/>
      <c r="BG303" s="10"/>
      <c r="BH303" s="30"/>
      <c r="BI303" s="10"/>
      <c r="BJ303" s="338"/>
      <c r="BK303" s="338"/>
      <c r="BL303" s="303"/>
      <c r="BM303" s="5"/>
      <c r="BN303" s="10"/>
      <c r="BO303" s="8"/>
      <c r="BP303" s="5"/>
      <c r="BQ303" s="10"/>
      <c r="BR303" s="29">
        <v>1998</v>
      </c>
      <c r="BS303" s="64">
        <v>1997</v>
      </c>
      <c r="BT303" s="14">
        <v>22</v>
      </c>
      <c r="BU303" s="10"/>
      <c r="BV303" s="8"/>
      <c r="BW303" s="10"/>
      <c r="BX303" s="10"/>
      <c r="BY303" s="10"/>
      <c r="BZ303" s="10"/>
      <c r="CA303" s="10"/>
      <c r="CB303" s="10"/>
      <c r="CC303" s="221"/>
      <c r="CD303" s="10"/>
      <c r="CE303" s="317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317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38">
        <f t="shared" si="141"/>
        <v>0</v>
      </c>
      <c r="DW303" s="14" t="str">
        <f t="shared" si="142"/>
        <v>PROB</v>
      </c>
    </row>
    <row r="304" spans="1:127" customFormat="1">
      <c r="A304" s="210">
        <v>35765</v>
      </c>
      <c r="B304" s="211"/>
      <c r="C304" s="8">
        <v>0</v>
      </c>
      <c r="D304" s="10">
        <v>24</v>
      </c>
      <c r="E304" s="10">
        <v>2</v>
      </c>
      <c r="F304" s="10">
        <v>0</v>
      </c>
      <c r="G304" s="10">
        <v>2</v>
      </c>
      <c r="H304" s="10">
        <v>3</v>
      </c>
      <c r="I304" s="10">
        <v>0</v>
      </c>
      <c r="J304" s="10">
        <v>14</v>
      </c>
      <c r="K304" s="10">
        <v>0</v>
      </c>
      <c r="L304" s="10">
        <v>0</v>
      </c>
      <c r="M304" s="10"/>
      <c r="N304" s="10"/>
      <c r="O304" s="10">
        <v>5</v>
      </c>
      <c r="P304" s="10">
        <v>0</v>
      </c>
      <c r="Q304" s="10">
        <v>0</v>
      </c>
      <c r="R304" s="10">
        <v>0</v>
      </c>
      <c r="S304" s="35">
        <f t="shared" si="139"/>
        <v>50</v>
      </c>
      <c r="T304" s="10">
        <v>1</v>
      </c>
      <c r="U304" s="59">
        <v>3</v>
      </c>
      <c r="V304" s="59"/>
      <c r="W304" s="10">
        <v>0</v>
      </c>
      <c r="X304" s="5">
        <v>0</v>
      </c>
      <c r="Y304" s="10"/>
      <c r="Z304" s="8">
        <v>1014421</v>
      </c>
      <c r="AA304" s="10">
        <v>1292891</v>
      </c>
      <c r="AB304" s="10"/>
      <c r="AC304" s="61">
        <v>1035179</v>
      </c>
      <c r="AD304" s="59">
        <v>1459791</v>
      </c>
      <c r="AE304" s="35">
        <f t="shared" si="140"/>
        <v>2494970</v>
      </c>
      <c r="AF304" s="10"/>
      <c r="AG304" s="8">
        <v>127</v>
      </c>
      <c r="AH304" s="10">
        <v>1</v>
      </c>
      <c r="AI304" s="10">
        <v>140</v>
      </c>
      <c r="AJ304" s="5">
        <v>32</v>
      </c>
      <c r="AK304" s="10"/>
      <c r="AL304" s="8"/>
      <c r="AM304" s="10"/>
      <c r="AN304" s="35"/>
      <c r="AO304" s="10"/>
      <c r="AP304" s="10"/>
      <c r="AQ304" s="35"/>
      <c r="AR304" s="59"/>
      <c r="AS304" s="59"/>
      <c r="AT304" s="59"/>
      <c r="AU304" s="59"/>
      <c r="AV304" s="62"/>
      <c r="AW304" s="10"/>
      <c r="AX304" s="326"/>
      <c r="AY304" s="5"/>
      <c r="AZ304" s="10"/>
      <c r="BA304" s="8">
        <v>1619</v>
      </c>
      <c r="BB304" s="10">
        <v>27323843</v>
      </c>
      <c r="BC304" s="10">
        <v>19247104</v>
      </c>
      <c r="BD304" s="10"/>
      <c r="BE304" s="10">
        <v>91</v>
      </c>
      <c r="BF304" s="10">
        <v>8</v>
      </c>
      <c r="BG304" s="10">
        <v>2</v>
      </c>
      <c r="BH304" s="30"/>
      <c r="BI304" s="10">
        <v>2233681</v>
      </c>
      <c r="BJ304" s="338"/>
      <c r="BK304" s="338"/>
      <c r="BL304" s="303"/>
      <c r="BM304" s="5"/>
      <c r="BN304" s="10"/>
      <c r="BO304" s="8"/>
      <c r="BP304" s="5">
        <v>150</v>
      </c>
      <c r="BQ304" s="10"/>
      <c r="BR304" s="29">
        <v>1998</v>
      </c>
      <c r="BS304" s="64">
        <v>1997</v>
      </c>
      <c r="BT304" s="14">
        <v>23</v>
      </c>
      <c r="BU304" s="10"/>
      <c r="BV304" s="8"/>
      <c r="BW304" s="10"/>
      <c r="BX304" s="10"/>
      <c r="BY304" s="10"/>
      <c r="BZ304" s="10"/>
      <c r="CA304" s="10"/>
      <c r="CB304" s="10"/>
      <c r="CC304" s="221"/>
      <c r="CD304" s="10"/>
      <c r="CE304" s="317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317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38">
        <f t="shared" si="141"/>
        <v>0</v>
      </c>
      <c r="DW304" s="14" t="str">
        <f t="shared" si="142"/>
        <v>PROB</v>
      </c>
    </row>
    <row r="305" spans="1:127" customFormat="1">
      <c r="A305" s="210">
        <v>35779</v>
      </c>
      <c r="B305" s="211"/>
      <c r="C305" s="8">
        <v>10</v>
      </c>
      <c r="D305" s="10">
        <v>12</v>
      </c>
      <c r="E305" s="10">
        <v>8</v>
      </c>
      <c r="F305" s="10">
        <v>0</v>
      </c>
      <c r="G305" s="10">
        <v>1</v>
      </c>
      <c r="H305" s="10">
        <v>0</v>
      </c>
      <c r="I305" s="10">
        <v>0</v>
      </c>
      <c r="J305" s="10">
        <v>13</v>
      </c>
      <c r="K305" s="10">
        <v>0</v>
      </c>
      <c r="L305" s="10">
        <v>0</v>
      </c>
      <c r="M305" s="10"/>
      <c r="N305" s="10"/>
      <c r="O305" s="10">
        <v>12</v>
      </c>
      <c r="P305" s="10">
        <v>0</v>
      </c>
      <c r="Q305" s="10">
        <v>1</v>
      </c>
      <c r="R305" s="10">
        <v>0</v>
      </c>
      <c r="S305" s="35">
        <f t="shared" si="139"/>
        <v>57</v>
      </c>
      <c r="T305" s="10">
        <v>1</v>
      </c>
      <c r="U305" s="59">
        <v>5</v>
      </c>
      <c r="V305" s="59"/>
      <c r="W305" s="10">
        <v>0</v>
      </c>
      <c r="X305" s="5">
        <v>0</v>
      </c>
      <c r="Y305" s="10"/>
      <c r="Z305" s="8">
        <v>849990</v>
      </c>
      <c r="AA305" s="10">
        <v>1317006</v>
      </c>
      <c r="AB305" s="10"/>
      <c r="AC305" s="61">
        <v>1058851</v>
      </c>
      <c r="AD305" s="59">
        <v>2602876</v>
      </c>
      <c r="AE305" s="35">
        <f t="shared" si="140"/>
        <v>3661727</v>
      </c>
      <c r="AF305" s="10"/>
      <c r="AG305" s="8">
        <v>108</v>
      </c>
      <c r="AH305" s="10">
        <v>1</v>
      </c>
      <c r="AI305" s="10">
        <v>132</v>
      </c>
      <c r="AJ305" s="5">
        <v>36</v>
      </c>
      <c r="AK305" s="10"/>
      <c r="AL305" s="8"/>
      <c r="AM305" s="10"/>
      <c r="AN305" s="35"/>
      <c r="AO305" s="10"/>
      <c r="AP305" s="10"/>
      <c r="AQ305" s="35"/>
      <c r="AR305" s="59"/>
      <c r="AS305" s="59"/>
      <c r="AT305" s="59"/>
      <c r="AU305" s="59"/>
      <c r="AV305" s="62"/>
      <c r="AW305" s="10"/>
      <c r="AX305" s="326"/>
      <c r="AY305" s="5"/>
      <c r="AZ305" s="10"/>
      <c r="BA305" s="8"/>
      <c r="BB305" s="10"/>
      <c r="BC305" s="10"/>
      <c r="BD305" s="10"/>
      <c r="BE305" s="10"/>
      <c r="BF305" s="10"/>
      <c r="BG305" s="10"/>
      <c r="BH305" s="30"/>
      <c r="BI305" s="10"/>
      <c r="BJ305" s="338"/>
      <c r="BK305" s="338"/>
      <c r="BL305" s="303"/>
      <c r="BM305" s="5"/>
      <c r="BN305" s="10"/>
      <c r="BO305" s="8"/>
      <c r="BP305" s="5"/>
      <c r="BQ305" s="10"/>
      <c r="BR305" s="29">
        <v>1998</v>
      </c>
      <c r="BS305" s="64">
        <v>1997</v>
      </c>
      <c r="BT305" s="14">
        <v>24</v>
      </c>
      <c r="BU305" s="10"/>
      <c r="BV305" s="8"/>
      <c r="BW305" s="10"/>
      <c r="BX305" s="10"/>
      <c r="BY305" s="10"/>
      <c r="BZ305" s="10"/>
      <c r="CA305" s="10"/>
      <c r="CB305" s="10"/>
      <c r="CC305" s="221"/>
      <c r="CD305" s="10"/>
      <c r="CE305" s="317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317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38">
        <f t="shared" si="141"/>
        <v>0</v>
      </c>
      <c r="DW305" s="14" t="str">
        <f t="shared" si="142"/>
        <v>PROB</v>
      </c>
    </row>
    <row r="306" spans="1:127" customFormat="1">
      <c r="A306" s="210">
        <v>35796</v>
      </c>
      <c r="B306" s="211"/>
      <c r="C306" s="8">
        <v>3</v>
      </c>
      <c r="D306" s="10">
        <v>54</v>
      </c>
      <c r="E306" s="10">
        <v>4</v>
      </c>
      <c r="F306" s="10">
        <v>1</v>
      </c>
      <c r="G306" s="10">
        <v>2</v>
      </c>
      <c r="H306" s="10">
        <v>2</v>
      </c>
      <c r="I306" s="10">
        <v>0</v>
      </c>
      <c r="J306" s="10">
        <v>144</v>
      </c>
      <c r="K306" s="10">
        <v>0</v>
      </c>
      <c r="L306" s="10">
        <v>0</v>
      </c>
      <c r="M306" s="10"/>
      <c r="N306" s="10"/>
      <c r="O306" s="10">
        <v>17</v>
      </c>
      <c r="P306" s="10">
        <v>1</v>
      </c>
      <c r="Q306" s="10">
        <v>0</v>
      </c>
      <c r="R306" s="10">
        <v>1</v>
      </c>
      <c r="S306" s="35">
        <f t="shared" si="139"/>
        <v>229</v>
      </c>
      <c r="T306" s="10">
        <v>0</v>
      </c>
      <c r="U306" s="59">
        <v>19</v>
      </c>
      <c r="V306" s="59"/>
      <c r="W306" s="10">
        <v>0</v>
      </c>
      <c r="X306" s="5">
        <v>0</v>
      </c>
      <c r="Y306" s="10"/>
      <c r="Z306" s="8">
        <v>1523070</v>
      </c>
      <c r="AA306" s="10">
        <v>2928223</v>
      </c>
      <c r="AB306" s="10"/>
      <c r="AC306" s="61">
        <v>1210429</v>
      </c>
      <c r="AD306" s="59">
        <v>4733910</v>
      </c>
      <c r="AE306" s="35">
        <f t="shared" si="140"/>
        <v>5944339</v>
      </c>
      <c r="AF306" s="10"/>
      <c r="AG306" s="8">
        <v>195</v>
      </c>
      <c r="AH306" s="10">
        <v>1</v>
      </c>
      <c r="AI306" s="10">
        <v>212</v>
      </c>
      <c r="AJ306" s="5">
        <v>68</v>
      </c>
      <c r="AK306" s="10"/>
      <c r="AL306" s="8">
        <v>36</v>
      </c>
      <c r="AM306" s="10">
        <v>118</v>
      </c>
      <c r="AN306" s="35">
        <f>SUM(AL306:AM306)</f>
        <v>154</v>
      </c>
      <c r="AO306" s="10">
        <v>140</v>
      </c>
      <c r="AP306" s="10">
        <v>16</v>
      </c>
      <c r="AQ306" s="35">
        <f>SUM(AO306:AP306)</f>
        <v>156</v>
      </c>
      <c r="AR306" s="59"/>
      <c r="AS306" s="59"/>
      <c r="AT306" s="59"/>
      <c r="AU306" s="59"/>
      <c r="AV306" s="62"/>
      <c r="AW306" s="10"/>
      <c r="AX306" s="326"/>
      <c r="AY306" s="5"/>
      <c r="AZ306" s="10"/>
      <c r="BA306" s="8">
        <v>1600</v>
      </c>
      <c r="BB306" s="10">
        <v>27663088</v>
      </c>
      <c r="BC306" s="10">
        <v>19486720</v>
      </c>
      <c r="BD306" s="10"/>
      <c r="BE306" s="10">
        <v>251</v>
      </c>
      <c r="BF306" s="10">
        <v>27</v>
      </c>
      <c r="BG306" s="10">
        <v>35</v>
      </c>
      <c r="BH306" s="30"/>
      <c r="BI306" s="10">
        <v>7542733</v>
      </c>
      <c r="BJ306" s="338"/>
      <c r="BK306" s="338"/>
      <c r="BL306" s="303"/>
      <c r="BM306" s="5"/>
      <c r="BN306" s="10"/>
      <c r="BO306" s="8"/>
      <c r="BP306" s="90"/>
      <c r="BQ306" s="10"/>
      <c r="BR306" s="29">
        <v>1998</v>
      </c>
      <c r="BS306" s="64">
        <v>1998</v>
      </c>
      <c r="BT306" s="14">
        <v>1</v>
      </c>
      <c r="BU306" s="10"/>
      <c r="BV306" s="8"/>
      <c r="BW306" s="10"/>
      <c r="BX306" s="10"/>
      <c r="BY306" s="10"/>
      <c r="BZ306" s="10"/>
      <c r="CA306" s="10"/>
      <c r="CB306" s="10"/>
      <c r="CC306" s="221"/>
      <c r="CD306" s="10"/>
      <c r="CE306" s="317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317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38">
        <f t="shared" si="141"/>
        <v>0</v>
      </c>
      <c r="DW306" s="14" t="str">
        <f t="shared" si="142"/>
        <v>PROB</v>
      </c>
    </row>
    <row r="307" spans="1:127" customFormat="1">
      <c r="A307" s="210">
        <v>35810</v>
      </c>
      <c r="B307" s="211"/>
      <c r="C307" s="8">
        <v>4</v>
      </c>
      <c r="D307" s="10">
        <v>12</v>
      </c>
      <c r="E307" s="10">
        <v>3</v>
      </c>
      <c r="F307" s="10">
        <v>1</v>
      </c>
      <c r="G307" s="10">
        <v>1</v>
      </c>
      <c r="H307" s="10">
        <v>1</v>
      </c>
      <c r="I307" s="10">
        <v>0</v>
      </c>
      <c r="J307" s="10">
        <v>63</v>
      </c>
      <c r="K307" s="10">
        <v>0</v>
      </c>
      <c r="L307" s="10">
        <v>11</v>
      </c>
      <c r="M307" s="10"/>
      <c r="N307" s="10"/>
      <c r="O307" s="10">
        <v>5</v>
      </c>
      <c r="P307" s="10">
        <v>0</v>
      </c>
      <c r="Q307" s="10">
        <v>1</v>
      </c>
      <c r="R307" s="10">
        <v>0</v>
      </c>
      <c r="S307" s="35">
        <f t="shared" si="139"/>
        <v>102</v>
      </c>
      <c r="T307" s="10">
        <v>0</v>
      </c>
      <c r="U307" s="59">
        <v>11</v>
      </c>
      <c r="V307" s="59"/>
      <c r="W307" s="10">
        <v>0</v>
      </c>
      <c r="X307" s="5">
        <v>2</v>
      </c>
      <c r="Y307" s="10"/>
      <c r="Z307" s="8">
        <v>1024950</v>
      </c>
      <c r="AA307" s="10">
        <v>1832469</v>
      </c>
      <c r="AB307" s="10"/>
      <c r="AC307" s="61">
        <v>599329</v>
      </c>
      <c r="AD307" s="59">
        <v>2498722</v>
      </c>
      <c r="AE307" s="35">
        <f t="shared" si="140"/>
        <v>3098051</v>
      </c>
      <c r="AF307" s="10"/>
      <c r="AG307" s="8">
        <v>111</v>
      </c>
      <c r="AH307" s="10">
        <v>5</v>
      </c>
      <c r="AI307" s="10">
        <v>134</v>
      </c>
      <c r="AJ307" s="5">
        <v>44</v>
      </c>
      <c r="AK307" s="10"/>
      <c r="AL307" s="8"/>
      <c r="AM307" s="10"/>
      <c r="AN307" s="35"/>
      <c r="AO307" s="10"/>
      <c r="AP307" s="10"/>
      <c r="AQ307" s="35"/>
      <c r="AR307" s="59"/>
      <c r="AS307" s="59"/>
      <c r="AT307" s="59"/>
      <c r="AU307" s="59"/>
      <c r="AV307" s="62"/>
      <c r="AW307" s="10"/>
      <c r="AX307" s="326"/>
      <c r="AY307" s="5"/>
      <c r="AZ307" s="10"/>
      <c r="BA307" s="8"/>
      <c r="BB307" s="10"/>
      <c r="BC307" s="10"/>
      <c r="BD307" s="10"/>
      <c r="BE307" s="10"/>
      <c r="BF307" s="10"/>
      <c r="BG307" s="10"/>
      <c r="BH307" s="30"/>
      <c r="BI307" s="10"/>
      <c r="BJ307" s="338"/>
      <c r="BK307" s="338"/>
      <c r="BL307" s="303"/>
      <c r="BM307" s="5"/>
      <c r="BN307" s="10"/>
      <c r="BO307" s="8"/>
      <c r="BP307" s="5"/>
      <c r="BQ307" s="10"/>
      <c r="BR307" s="29">
        <v>1998</v>
      </c>
      <c r="BS307" s="64">
        <v>1998</v>
      </c>
      <c r="BT307" s="14">
        <v>2</v>
      </c>
      <c r="BU307" s="10"/>
      <c r="BV307" s="8"/>
      <c r="BW307" s="10"/>
      <c r="BX307" s="10"/>
      <c r="BY307" s="10"/>
      <c r="BZ307" s="10"/>
      <c r="CA307" s="10"/>
      <c r="CB307" s="10"/>
      <c r="CC307" s="221"/>
      <c r="CD307" s="10"/>
      <c r="CE307" s="317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317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38">
        <f t="shared" si="141"/>
        <v>0</v>
      </c>
      <c r="DW307" s="14" t="str">
        <f t="shared" si="142"/>
        <v>PROB</v>
      </c>
    </row>
    <row r="308" spans="1:127" customFormat="1">
      <c r="A308" s="210">
        <v>35827</v>
      </c>
      <c r="B308" s="211"/>
      <c r="C308" s="8">
        <v>2</v>
      </c>
      <c r="D308" s="10">
        <v>13</v>
      </c>
      <c r="E308" s="10">
        <v>3</v>
      </c>
      <c r="F308" s="10">
        <v>0</v>
      </c>
      <c r="G308" s="10">
        <v>0</v>
      </c>
      <c r="H308" s="10">
        <v>2</v>
      </c>
      <c r="I308" s="10">
        <v>0</v>
      </c>
      <c r="J308" s="10">
        <v>34</v>
      </c>
      <c r="K308" s="10">
        <v>0</v>
      </c>
      <c r="L308" s="10">
        <v>0</v>
      </c>
      <c r="M308" s="10"/>
      <c r="N308" s="10"/>
      <c r="O308" s="10">
        <v>3</v>
      </c>
      <c r="P308" s="10">
        <v>0</v>
      </c>
      <c r="Q308" s="10">
        <v>0</v>
      </c>
      <c r="R308" s="10">
        <v>0</v>
      </c>
      <c r="S308" s="35">
        <f t="shared" si="139"/>
        <v>57</v>
      </c>
      <c r="T308" s="10">
        <v>0</v>
      </c>
      <c r="U308" s="59">
        <v>1</v>
      </c>
      <c r="V308" s="59"/>
      <c r="W308" s="10">
        <v>0</v>
      </c>
      <c r="X308" s="5">
        <v>2</v>
      </c>
      <c r="Y308" s="10"/>
      <c r="Z308" s="8">
        <v>818796</v>
      </c>
      <c r="AA308" s="10">
        <v>1166503</v>
      </c>
      <c r="AB308" s="10"/>
      <c r="AC308" s="61">
        <v>538813</v>
      </c>
      <c r="AD308" s="59">
        <v>1445951</v>
      </c>
      <c r="AE308" s="35">
        <f t="shared" si="140"/>
        <v>1984764</v>
      </c>
      <c r="AF308" s="10"/>
      <c r="AG308" s="8">
        <v>82</v>
      </c>
      <c r="AH308" s="10">
        <v>11</v>
      </c>
      <c r="AI308" s="10">
        <v>124</v>
      </c>
      <c r="AJ308" s="5">
        <v>32</v>
      </c>
      <c r="AK308" s="10"/>
      <c r="AL308" s="8"/>
      <c r="AM308" s="10"/>
      <c r="AN308" s="35"/>
      <c r="AO308" s="10"/>
      <c r="AP308" s="10"/>
      <c r="AQ308" s="35"/>
      <c r="AR308" s="59"/>
      <c r="AS308" s="59"/>
      <c r="AT308" s="59"/>
      <c r="AU308" s="59"/>
      <c r="AV308" s="62"/>
      <c r="AW308" s="10"/>
      <c r="AX308" s="326"/>
      <c r="AY308" s="5"/>
      <c r="AZ308" s="10"/>
      <c r="BA308" s="8">
        <v>1602</v>
      </c>
      <c r="BB308" s="10">
        <v>27790964</v>
      </c>
      <c r="BC308" s="10">
        <v>19521536</v>
      </c>
      <c r="BD308" s="10"/>
      <c r="BE308" s="10">
        <v>84</v>
      </c>
      <c r="BF308" s="10">
        <v>7</v>
      </c>
      <c r="BG308" s="10">
        <v>1</v>
      </c>
      <c r="BH308" s="30"/>
      <c r="BI308" s="10">
        <v>1960329</v>
      </c>
      <c r="BJ308" s="338"/>
      <c r="BK308" s="338"/>
      <c r="BL308" s="303"/>
      <c r="BM308" s="5"/>
      <c r="BN308" s="10"/>
      <c r="BO308" s="8"/>
      <c r="BP308" s="5"/>
      <c r="BQ308" s="10"/>
      <c r="BR308" s="29">
        <v>1998</v>
      </c>
      <c r="BS308" s="64">
        <v>1998</v>
      </c>
      <c r="BT308" s="14">
        <v>3</v>
      </c>
      <c r="BU308" s="10"/>
      <c r="BV308" s="8"/>
      <c r="BW308" s="10"/>
      <c r="BX308" s="10"/>
      <c r="BY308" s="10"/>
      <c r="BZ308" s="10"/>
      <c r="CA308" s="10"/>
      <c r="CB308" s="10"/>
      <c r="CC308" s="221"/>
      <c r="CD308" s="10"/>
      <c r="CE308" s="317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317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38">
        <f t="shared" si="141"/>
        <v>0</v>
      </c>
      <c r="DW308" s="14" t="str">
        <f t="shared" si="142"/>
        <v>PROB</v>
      </c>
    </row>
    <row r="309" spans="1:127" customFormat="1">
      <c r="A309" s="210">
        <v>35841</v>
      </c>
      <c r="B309" s="211"/>
      <c r="C309" s="8">
        <v>4</v>
      </c>
      <c r="D309" s="10">
        <v>14</v>
      </c>
      <c r="E309" s="10">
        <v>0</v>
      </c>
      <c r="F309" s="10">
        <v>1</v>
      </c>
      <c r="G309" s="10">
        <v>2</v>
      </c>
      <c r="H309" s="10">
        <v>2</v>
      </c>
      <c r="I309" s="10">
        <v>0</v>
      </c>
      <c r="J309" s="10">
        <v>14</v>
      </c>
      <c r="K309" s="10">
        <v>0</v>
      </c>
      <c r="L309" s="10">
        <v>3</v>
      </c>
      <c r="M309" s="10"/>
      <c r="N309" s="10"/>
      <c r="O309" s="10">
        <v>7</v>
      </c>
      <c r="P309" s="10">
        <v>0</v>
      </c>
      <c r="Q309" s="10">
        <v>0</v>
      </c>
      <c r="R309" s="10">
        <v>0</v>
      </c>
      <c r="S309" s="35">
        <f t="shared" si="139"/>
        <v>47</v>
      </c>
      <c r="T309" s="10">
        <v>0</v>
      </c>
      <c r="U309" s="59">
        <v>4</v>
      </c>
      <c r="V309" s="59"/>
      <c r="W309" s="10">
        <v>0</v>
      </c>
      <c r="X309" s="5">
        <v>1</v>
      </c>
      <c r="Y309" s="10"/>
      <c r="Z309" s="8">
        <v>1142430</v>
      </c>
      <c r="AA309" s="10">
        <v>12319796</v>
      </c>
      <c r="AB309" s="10"/>
      <c r="AC309" s="61">
        <v>947573</v>
      </c>
      <c r="AD309" s="59">
        <v>1128363</v>
      </c>
      <c r="AE309" s="35">
        <f t="shared" si="140"/>
        <v>2075936</v>
      </c>
      <c r="AF309" s="10"/>
      <c r="AG309" s="8">
        <v>129</v>
      </c>
      <c r="AH309" s="10">
        <v>15</v>
      </c>
      <c r="AI309" s="10">
        <v>160</v>
      </c>
      <c r="AJ309" s="5">
        <v>36</v>
      </c>
      <c r="AK309" s="10"/>
      <c r="AL309" s="8"/>
      <c r="AM309" s="10"/>
      <c r="AN309" s="35"/>
      <c r="AO309" s="10"/>
      <c r="AP309" s="10"/>
      <c r="AQ309" s="35"/>
      <c r="AR309" s="59"/>
      <c r="AS309" s="59"/>
      <c r="AT309" s="59"/>
      <c r="AU309" s="59"/>
      <c r="AV309" s="62"/>
      <c r="AW309" s="10"/>
      <c r="AX309" s="326"/>
      <c r="AY309" s="5"/>
      <c r="AZ309" s="10"/>
      <c r="BA309" s="8"/>
      <c r="BB309" s="10"/>
      <c r="BC309" s="10"/>
      <c r="BD309" s="10"/>
      <c r="BE309" s="10"/>
      <c r="BF309" s="10"/>
      <c r="BG309" s="10"/>
      <c r="BH309" s="30"/>
      <c r="BI309" s="10"/>
      <c r="BJ309" s="338"/>
      <c r="BK309" s="338"/>
      <c r="BL309" s="303"/>
      <c r="BM309" s="5"/>
      <c r="BN309" s="10"/>
      <c r="BO309" s="8"/>
      <c r="BP309" s="5"/>
      <c r="BQ309" s="10"/>
      <c r="BR309" s="29">
        <v>1998</v>
      </c>
      <c r="BS309" s="64">
        <v>1998</v>
      </c>
      <c r="BT309" s="14">
        <v>4</v>
      </c>
      <c r="BU309" s="10"/>
      <c r="BV309" s="8"/>
      <c r="BW309" s="10"/>
      <c r="BX309" s="10"/>
      <c r="BY309" s="10"/>
      <c r="BZ309" s="10"/>
      <c r="CA309" s="10"/>
      <c r="CB309" s="10"/>
      <c r="CC309" s="221"/>
      <c r="CD309" s="10"/>
      <c r="CE309" s="317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317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38">
        <f t="shared" si="141"/>
        <v>0</v>
      </c>
      <c r="DW309" s="14" t="str">
        <f t="shared" si="142"/>
        <v>PROB</v>
      </c>
    </row>
    <row r="310" spans="1:127" customFormat="1">
      <c r="A310" s="210">
        <v>35855</v>
      </c>
      <c r="B310" s="211"/>
      <c r="C310" s="8">
        <v>2</v>
      </c>
      <c r="D310" s="10">
        <v>13</v>
      </c>
      <c r="E310" s="10">
        <v>2</v>
      </c>
      <c r="F310" s="10">
        <v>2</v>
      </c>
      <c r="G310" s="10">
        <v>0</v>
      </c>
      <c r="H310" s="10">
        <v>2</v>
      </c>
      <c r="I310" s="10">
        <v>0</v>
      </c>
      <c r="J310" s="10">
        <v>25</v>
      </c>
      <c r="K310" s="10">
        <v>0</v>
      </c>
      <c r="L310" s="10">
        <v>0</v>
      </c>
      <c r="M310" s="10"/>
      <c r="N310" s="10"/>
      <c r="O310" s="10">
        <v>12</v>
      </c>
      <c r="P310" s="10">
        <v>3</v>
      </c>
      <c r="Q310" s="10">
        <v>0</v>
      </c>
      <c r="R310" s="10">
        <v>0</v>
      </c>
      <c r="S310" s="35">
        <f t="shared" si="139"/>
        <v>61</v>
      </c>
      <c r="T310" s="10">
        <v>0</v>
      </c>
      <c r="U310" s="59">
        <v>5</v>
      </c>
      <c r="V310" s="59"/>
      <c r="W310" s="10">
        <v>0</v>
      </c>
      <c r="X310" s="5">
        <v>0</v>
      </c>
      <c r="Y310" s="10"/>
      <c r="Z310" s="8">
        <v>1043436</v>
      </c>
      <c r="AA310" s="10">
        <v>1260178</v>
      </c>
      <c r="AB310" s="10"/>
      <c r="AC310" s="61">
        <v>725747</v>
      </c>
      <c r="AD310" s="59">
        <v>2369137</v>
      </c>
      <c r="AE310" s="35">
        <f t="shared" si="140"/>
        <v>3094884</v>
      </c>
      <c r="AF310" s="10"/>
      <c r="AG310" s="8">
        <v>78</v>
      </c>
      <c r="AH310" s="10">
        <v>24</v>
      </c>
      <c r="AI310" s="10">
        <v>116</v>
      </c>
      <c r="AJ310" s="5">
        <v>36</v>
      </c>
      <c r="AK310" s="10"/>
      <c r="AL310" s="8"/>
      <c r="AM310" s="10"/>
      <c r="AN310" s="35"/>
      <c r="AO310" s="10"/>
      <c r="AP310" s="10"/>
      <c r="AQ310" s="35"/>
      <c r="AR310" s="59"/>
      <c r="AS310" s="59"/>
      <c r="AT310" s="59"/>
      <c r="AU310" s="59"/>
      <c r="AV310" s="62"/>
      <c r="AW310" s="10"/>
      <c r="AX310" s="326"/>
      <c r="AY310" s="5"/>
      <c r="AZ310" s="10"/>
      <c r="BA310" s="8">
        <v>1596</v>
      </c>
      <c r="BB310" s="10">
        <v>27583751</v>
      </c>
      <c r="BC310" s="10">
        <v>19433472</v>
      </c>
      <c r="BD310" s="10"/>
      <c r="BE310" s="10">
        <v>111</v>
      </c>
      <c r="BF310" s="10">
        <v>6</v>
      </c>
      <c r="BG310" s="10">
        <v>12</v>
      </c>
      <c r="BH310" s="30"/>
      <c r="BI310" s="10">
        <v>2766877</v>
      </c>
      <c r="BJ310" s="338"/>
      <c r="BK310" s="338"/>
      <c r="BL310" s="303"/>
      <c r="BM310" s="5"/>
      <c r="BN310" s="10"/>
      <c r="BO310" s="8"/>
      <c r="BP310" s="5">
        <v>150</v>
      </c>
      <c r="BQ310" s="10"/>
      <c r="BR310" s="29">
        <v>1998</v>
      </c>
      <c r="BS310" s="64">
        <v>1998</v>
      </c>
      <c r="BT310" s="14">
        <v>5</v>
      </c>
      <c r="BU310" s="10"/>
      <c r="BV310" s="8"/>
      <c r="BW310" s="10"/>
      <c r="BX310" s="10"/>
      <c r="BY310" s="10"/>
      <c r="BZ310" s="10"/>
      <c r="CA310" s="10"/>
      <c r="CB310" s="10"/>
      <c r="CC310" s="221"/>
      <c r="CD310" s="10"/>
      <c r="CE310" s="317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317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38">
        <f t="shared" si="141"/>
        <v>0</v>
      </c>
      <c r="DW310" s="14" t="str">
        <f t="shared" si="142"/>
        <v>PROB</v>
      </c>
    </row>
    <row r="311" spans="1:127" customFormat="1">
      <c r="A311" s="210">
        <v>35869</v>
      </c>
      <c r="B311" s="211"/>
      <c r="C311" s="8">
        <v>0</v>
      </c>
      <c r="D311" s="10">
        <v>26</v>
      </c>
      <c r="E311" s="10">
        <v>0</v>
      </c>
      <c r="F311" s="10">
        <v>1</v>
      </c>
      <c r="G311" s="10">
        <v>0</v>
      </c>
      <c r="H311" s="10">
        <v>1</v>
      </c>
      <c r="I311" s="10">
        <v>0</v>
      </c>
      <c r="J311" s="10">
        <v>3</v>
      </c>
      <c r="K311" s="10">
        <v>0</v>
      </c>
      <c r="L311" s="10">
        <v>0</v>
      </c>
      <c r="M311" s="10"/>
      <c r="N311" s="10"/>
      <c r="O311" s="10">
        <v>8</v>
      </c>
      <c r="P311" s="10">
        <v>1</v>
      </c>
      <c r="Q311" s="10">
        <v>0</v>
      </c>
      <c r="R311" s="10">
        <v>0</v>
      </c>
      <c r="S311" s="35">
        <f t="shared" si="139"/>
        <v>40</v>
      </c>
      <c r="T311" s="10">
        <v>1</v>
      </c>
      <c r="U311" s="59">
        <v>12</v>
      </c>
      <c r="V311" s="59"/>
      <c r="W311" s="10">
        <v>0</v>
      </c>
      <c r="X311" s="5">
        <v>1</v>
      </c>
      <c r="Y311" s="10"/>
      <c r="Z311" s="8">
        <v>914305</v>
      </c>
      <c r="AA311" s="10">
        <v>728393</v>
      </c>
      <c r="AB311" s="10"/>
      <c r="AC311" s="61">
        <v>675455</v>
      </c>
      <c r="AD311" s="59">
        <v>1238637</v>
      </c>
      <c r="AE311" s="35">
        <f t="shared" si="140"/>
        <v>1914092</v>
      </c>
      <c r="AF311" s="10"/>
      <c r="AG311" s="8">
        <v>63</v>
      </c>
      <c r="AH311" s="10">
        <v>29</v>
      </c>
      <c r="AI311" s="10">
        <v>116</v>
      </c>
      <c r="AJ311" s="5">
        <v>24</v>
      </c>
      <c r="AK311" s="10"/>
      <c r="AL311" s="8"/>
      <c r="AM311" s="10"/>
      <c r="AN311" s="35"/>
      <c r="AO311" s="10"/>
      <c r="AP311" s="10"/>
      <c r="AQ311" s="35"/>
      <c r="AR311" s="59"/>
      <c r="AS311" s="59"/>
      <c r="AT311" s="59"/>
      <c r="AU311" s="59"/>
      <c r="AV311" s="62"/>
      <c r="AW311" s="10"/>
      <c r="AX311" s="326"/>
      <c r="AY311" s="5"/>
      <c r="AZ311" s="10"/>
      <c r="BA311" s="8"/>
      <c r="BB311" s="10"/>
      <c r="BC311" s="10"/>
      <c r="BD311" s="10"/>
      <c r="BE311" s="10"/>
      <c r="BF311" s="10"/>
      <c r="BG311" s="10"/>
      <c r="BH311" s="30"/>
      <c r="BI311" s="10"/>
      <c r="BJ311" s="338"/>
      <c r="BK311" s="338"/>
      <c r="BL311" s="303"/>
      <c r="BM311" s="5"/>
      <c r="BN311" s="10"/>
      <c r="BO311" s="8"/>
      <c r="BP311" s="5"/>
      <c r="BQ311" s="10"/>
      <c r="BR311" s="29">
        <v>1998</v>
      </c>
      <c r="BS311" s="64">
        <v>1998</v>
      </c>
      <c r="BT311" s="14">
        <v>6</v>
      </c>
      <c r="BU311" s="10"/>
      <c r="BV311" s="8"/>
      <c r="BW311" s="10"/>
      <c r="BX311" s="10"/>
      <c r="BY311" s="10"/>
      <c r="BZ311" s="10"/>
      <c r="CA311" s="10"/>
      <c r="CB311" s="10"/>
      <c r="CC311" s="221"/>
      <c r="CD311" s="10"/>
      <c r="CE311" s="317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317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38">
        <f t="shared" si="141"/>
        <v>0</v>
      </c>
      <c r="DW311" s="14" t="str">
        <f t="shared" si="142"/>
        <v>PROB</v>
      </c>
    </row>
    <row r="312" spans="1:127" customFormat="1">
      <c r="A312" s="210">
        <v>35886</v>
      </c>
      <c r="B312" s="211"/>
      <c r="C312" s="8">
        <v>8</v>
      </c>
      <c r="D312" s="10">
        <v>13</v>
      </c>
      <c r="E312" s="10">
        <v>2</v>
      </c>
      <c r="F312" s="10">
        <v>7</v>
      </c>
      <c r="G312" s="10">
        <v>1</v>
      </c>
      <c r="H312" s="10">
        <v>0</v>
      </c>
      <c r="I312" s="10">
        <v>0</v>
      </c>
      <c r="J312" s="10">
        <v>16</v>
      </c>
      <c r="K312" s="10">
        <v>0</v>
      </c>
      <c r="L312" s="10">
        <v>6</v>
      </c>
      <c r="M312" s="10"/>
      <c r="N312" s="10"/>
      <c r="O312" s="10">
        <v>36</v>
      </c>
      <c r="P312" s="10">
        <v>5</v>
      </c>
      <c r="Q312" s="10">
        <v>0</v>
      </c>
      <c r="R312" s="10">
        <v>0</v>
      </c>
      <c r="S312" s="35">
        <f t="shared" si="139"/>
        <v>94</v>
      </c>
      <c r="T312" s="10">
        <v>0</v>
      </c>
      <c r="U312" s="59">
        <v>10</v>
      </c>
      <c r="V312" s="59"/>
      <c r="W312" s="10">
        <v>0</v>
      </c>
      <c r="X312" s="5">
        <v>1</v>
      </c>
      <c r="Y312" s="10"/>
      <c r="Z312" s="8">
        <v>1016698</v>
      </c>
      <c r="AA312" s="10">
        <v>1033452</v>
      </c>
      <c r="AB312" s="10"/>
      <c r="AC312" s="61">
        <v>806948</v>
      </c>
      <c r="AD312" s="59">
        <v>2204077</v>
      </c>
      <c r="AE312" s="35">
        <f t="shared" si="140"/>
        <v>3011025</v>
      </c>
      <c r="AF312" s="10"/>
      <c r="AG312" s="8">
        <v>72</v>
      </c>
      <c r="AH312" s="10">
        <v>35</v>
      </c>
      <c r="AI312" s="10">
        <v>122</v>
      </c>
      <c r="AJ312" s="5">
        <v>32</v>
      </c>
      <c r="AK312" s="10"/>
      <c r="AL312" s="8">
        <v>36</v>
      </c>
      <c r="AM312" s="10">
        <v>122</v>
      </c>
      <c r="AN312" s="35">
        <f>SUM(AL312:AM312)</f>
        <v>158</v>
      </c>
      <c r="AO312" s="10">
        <v>140</v>
      </c>
      <c r="AP312" s="10">
        <v>16</v>
      </c>
      <c r="AQ312" s="35">
        <f>SUM(AO312:AP312)</f>
        <v>156</v>
      </c>
      <c r="AR312" s="59"/>
      <c r="AS312" s="59"/>
      <c r="AT312" s="59"/>
      <c r="AU312" s="59"/>
      <c r="AV312" s="62"/>
      <c r="AW312" s="10"/>
      <c r="AX312" s="326"/>
      <c r="AY312" s="5"/>
      <c r="AZ312" s="10"/>
      <c r="BA312" s="8">
        <v>1592</v>
      </c>
      <c r="BB312" s="10">
        <v>27641309</v>
      </c>
      <c r="BC312" s="10">
        <v>19447808</v>
      </c>
      <c r="BD312" s="10"/>
      <c r="BE312" s="10">
        <v>101</v>
      </c>
      <c r="BF312" s="10">
        <v>8</v>
      </c>
      <c r="BG312" s="10">
        <v>3</v>
      </c>
      <c r="BH312" s="30"/>
      <c r="BI312" s="10">
        <v>2617217</v>
      </c>
      <c r="BJ312" s="338"/>
      <c r="BK312" s="338"/>
      <c r="BL312" s="303"/>
      <c r="BM312" s="5"/>
      <c r="BN312" s="10"/>
      <c r="BO312" s="8"/>
      <c r="BP312" s="5">
        <v>149</v>
      </c>
      <c r="BQ312" s="10"/>
      <c r="BR312" s="29">
        <v>1998</v>
      </c>
      <c r="BS312" s="64">
        <v>1998</v>
      </c>
      <c r="BT312" s="14">
        <v>7</v>
      </c>
      <c r="BU312" s="10"/>
      <c r="BV312" s="8"/>
      <c r="BW312" s="10"/>
      <c r="BX312" s="10"/>
      <c r="BY312" s="10"/>
      <c r="BZ312" s="10"/>
      <c r="CA312" s="10"/>
      <c r="CB312" s="10"/>
      <c r="CC312" s="221"/>
      <c r="CD312" s="10"/>
      <c r="CE312" s="317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317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38">
        <f t="shared" si="141"/>
        <v>0</v>
      </c>
      <c r="DW312" s="14" t="str">
        <f t="shared" si="142"/>
        <v>PROB</v>
      </c>
    </row>
    <row r="313" spans="1:127" customFormat="1">
      <c r="A313" s="210">
        <v>35900</v>
      </c>
      <c r="B313" s="211"/>
      <c r="C313" s="8">
        <v>2</v>
      </c>
      <c r="D313" s="10">
        <v>16</v>
      </c>
      <c r="E313" s="10">
        <v>3</v>
      </c>
      <c r="F313" s="10">
        <v>0</v>
      </c>
      <c r="G313" s="10">
        <v>1</v>
      </c>
      <c r="H313" s="10">
        <v>3</v>
      </c>
      <c r="I313" s="10">
        <v>0</v>
      </c>
      <c r="J313" s="10">
        <v>5</v>
      </c>
      <c r="K313" s="10">
        <v>0</v>
      </c>
      <c r="L313" s="10">
        <v>3</v>
      </c>
      <c r="M313" s="10"/>
      <c r="N313" s="10"/>
      <c r="O313" s="10">
        <v>7</v>
      </c>
      <c r="P313" s="10">
        <v>2</v>
      </c>
      <c r="Q313" s="10">
        <v>0</v>
      </c>
      <c r="R313" s="10">
        <v>0</v>
      </c>
      <c r="S313" s="35">
        <f t="shared" si="139"/>
        <v>42</v>
      </c>
      <c r="T313" s="10">
        <v>1</v>
      </c>
      <c r="U313" s="59">
        <v>4</v>
      </c>
      <c r="V313" s="59"/>
      <c r="W313" s="10">
        <v>0</v>
      </c>
      <c r="X313" s="5">
        <v>0</v>
      </c>
      <c r="Y313" s="10"/>
      <c r="Z313" s="8">
        <v>947459</v>
      </c>
      <c r="AA313" s="10">
        <v>1287175</v>
      </c>
      <c r="AB313" s="10"/>
      <c r="AC313" s="61">
        <v>615389</v>
      </c>
      <c r="AD313" s="59">
        <v>992575</v>
      </c>
      <c r="AE313" s="35">
        <f t="shared" si="140"/>
        <v>1607964</v>
      </c>
      <c r="AF313" s="10"/>
      <c r="AG313" s="8">
        <v>65</v>
      </c>
      <c r="AH313" s="10">
        <v>37</v>
      </c>
      <c r="AI313" s="10">
        <v>112</v>
      </c>
      <c r="AJ313" s="5">
        <v>24</v>
      </c>
      <c r="AK313" s="10"/>
      <c r="AL313" s="8"/>
      <c r="AM313" s="10"/>
      <c r="AN313" s="35"/>
      <c r="AO313" s="10"/>
      <c r="AP313" s="10"/>
      <c r="AQ313" s="35"/>
      <c r="AR313" s="59"/>
      <c r="AS313" s="59"/>
      <c r="AT313" s="59"/>
      <c r="AU313" s="59"/>
      <c r="AV313" s="62"/>
      <c r="AW313" s="10"/>
      <c r="AX313" s="326"/>
      <c r="AY313" s="5"/>
      <c r="AZ313" s="10"/>
      <c r="BA313" s="8"/>
      <c r="BB313" s="10"/>
      <c r="BC313" s="10"/>
      <c r="BD313" s="10"/>
      <c r="BE313" s="10"/>
      <c r="BF313" s="10"/>
      <c r="BG313" s="10"/>
      <c r="BH313" s="30"/>
      <c r="BI313" s="10"/>
      <c r="BJ313" s="338"/>
      <c r="BK313" s="338"/>
      <c r="BL313" s="303"/>
      <c r="BM313" s="5"/>
      <c r="BN313" s="10"/>
      <c r="BO313" s="8"/>
      <c r="BP313" s="5"/>
      <c r="BQ313" s="10"/>
      <c r="BR313" s="29">
        <v>1998</v>
      </c>
      <c r="BS313" s="64">
        <v>1998</v>
      </c>
      <c r="BT313" s="14">
        <v>8</v>
      </c>
      <c r="BU313" s="10"/>
      <c r="BV313" s="8"/>
      <c r="BW313" s="10"/>
      <c r="BX313" s="10"/>
      <c r="BY313" s="10"/>
      <c r="BZ313" s="10"/>
      <c r="CA313" s="10"/>
      <c r="CB313" s="10"/>
      <c r="CC313" s="221"/>
      <c r="CD313" s="10"/>
      <c r="CE313" s="317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317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38">
        <f t="shared" si="141"/>
        <v>0</v>
      </c>
      <c r="DW313" s="14" t="str">
        <f t="shared" si="142"/>
        <v>PROB</v>
      </c>
    </row>
    <row r="314" spans="1:127" customFormat="1">
      <c r="A314" s="210">
        <v>35916</v>
      </c>
      <c r="B314" s="211"/>
      <c r="C314" s="8">
        <v>2</v>
      </c>
      <c r="D314" s="10">
        <v>12</v>
      </c>
      <c r="E314" s="10">
        <v>0</v>
      </c>
      <c r="F314" s="10">
        <v>0</v>
      </c>
      <c r="G314" s="10">
        <v>3</v>
      </c>
      <c r="H314" s="10">
        <v>0</v>
      </c>
      <c r="I314" s="10">
        <v>0</v>
      </c>
      <c r="J314" s="10">
        <v>13</v>
      </c>
      <c r="K314" s="10">
        <v>0</v>
      </c>
      <c r="L314" s="10">
        <v>2</v>
      </c>
      <c r="M314" s="10"/>
      <c r="N314" s="10"/>
      <c r="O314" s="10">
        <v>5</v>
      </c>
      <c r="P314" s="10">
        <v>0</v>
      </c>
      <c r="Q314" s="10">
        <v>0</v>
      </c>
      <c r="R314" s="10">
        <v>0</v>
      </c>
      <c r="S314" s="35">
        <f t="shared" si="139"/>
        <v>37</v>
      </c>
      <c r="T314" s="10">
        <v>1</v>
      </c>
      <c r="U314" s="59">
        <v>5</v>
      </c>
      <c r="V314" s="59"/>
      <c r="W314" s="10">
        <v>0</v>
      </c>
      <c r="X314" s="5">
        <v>0</v>
      </c>
      <c r="Y314" s="10"/>
      <c r="Z314" s="8">
        <v>1054167</v>
      </c>
      <c r="AA314" s="10">
        <v>1178922</v>
      </c>
      <c r="AB314" s="10"/>
      <c r="AC314" s="61">
        <v>573947</v>
      </c>
      <c r="AD314" s="59">
        <v>827882</v>
      </c>
      <c r="AE314" s="35">
        <f t="shared" si="140"/>
        <v>1401829</v>
      </c>
      <c r="AF314" s="10"/>
      <c r="AG314" s="8">
        <v>71</v>
      </c>
      <c r="AH314" s="10">
        <v>39</v>
      </c>
      <c r="AI314" s="10">
        <v>122</v>
      </c>
      <c r="AJ314" s="5">
        <v>24</v>
      </c>
      <c r="AK314" s="10"/>
      <c r="AL314" s="8"/>
      <c r="AM314" s="10"/>
      <c r="AN314" s="35"/>
      <c r="AO314" s="10"/>
      <c r="AP314" s="10"/>
      <c r="AQ314" s="35"/>
      <c r="AR314" s="59"/>
      <c r="AS314" s="59"/>
      <c r="AT314" s="59"/>
      <c r="AU314" s="59"/>
      <c r="AV314" s="62"/>
      <c r="AW314" s="10"/>
      <c r="AX314" s="326"/>
      <c r="AY314" s="5"/>
      <c r="AZ314" s="10"/>
      <c r="BA314" s="8">
        <v>1591</v>
      </c>
      <c r="BB314" s="10">
        <v>27674814</v>
      </c>
      <c r="BC314" s="10">
        <v>19480576</v>
      </c>
      <c r="BD314" s="10"/>
      <c r="BE314" s="10">
        <v>70</v>
      </c>
      <c r="BF314" s="10">
        <v>3</v>
      </c>
      <c r="BG314" s="10">
        <v>0</v>
      </c>
      <c r="BH314" s="30"/>
      <c r="BI314" s="10">
        <v>1396349</v>
      </c>
      <c r="BJ314" s="338"/>
      <c r="BK314" s="338"/>
      <c r="BL314" s="303"/>
      <c r="BM314" s="5"/>
      <c r="BN314" s="10"/>
      <c r="BO314" s="8"/>
      <c r="BP314" s="5">
        <v>149</v>
      </c>
      <c r="BQ314" s="10"/>
      <c r="BR314" s="29">
        <v>1998</v>
      </c>
      <c r="BS314" s="64">
        <v>1998</v>
      </c>
      <c r="BT314" s="14">
        <v>9</v>
      </c>
      <c r="BU314" s="10"/>
      <c r="BV314" s="8"/>
      <c r="BW314" s="10"/>
      <c r="BX314" s="10"/>
      <c r="BY314" s="10"/>
      <c r="BZ314" s="10"/>
      <c r="CA314" s="10"/>
      <c r="CB314" s="10"/>
      <c r="CC314" s="221"/>
      <c r="CD314" s="10"/>
      <c r="CE314" s="317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317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38">
        <f t="shared" si="141"/>
        <v>0</v>
      </c>
      <c r="DW314" s="14" t="str">
        <f t="shared" si="142"/>
        <v>PROB</v>
      </c>
    </row>
    <row r="315" spans="1:127" customFormat="1">
      <c r="A315" s="210">
        <v>35930</v>
      </c>
      <c r="B315" s="211"/>
      <c r="C315" s="8">
        <v>9</v>
      </c>
      <c r="D315" s="10">
        <v>33</v>
      </c>
      <c r="E315" s="10">
        <v>2</v>
      </c>
      <c r="F315" s="10">
        <v>0</v>
      </c>
      <c r="G315" s="10">
        <v>1</v>
      </c>
      <c r="H315" s="10">
        <v>3</v>
      </c>
      <c r="I315" s="10">
        <v>0</v>
      </c>
      <c r="J315" s="10">
        <v>34</v>
      </c>
      <c r="K315" s="10">
        <v>0</v>
      </c>
      <c r="L315" s="10">
        <v>2</v>
      </c>
      <c r="M315" s="10"/>
      <c r="N315" s="10"/>
      <c r="O315" s="10">
        <v>8</v>
      </c>
      <c r="P315" s="10">
        <v>0</v>
      </c>
      <c r="Q315" s="10">
        <v>0</v>
      </c>
      <c r="R315" s="10">
        <v>1</v>
      </c>
      <c r="S315" s="35">
        <f t="shared" si="139"/>
        <v>93</v>
      </c>
      <c r="T315" s="10">
        <v>1</v>
      </c>
      <c r="U315" s="59">
        <v>14</v>
      </c>
      <c r="V315" s="59"/>
      <c r="W315" s="10">
        <v>1</v>
      </c>
      <c r="X315" s="5">
        <v>0</v>
      </c>
      <c r="Y315" s="10"/>
      <c r="Z315" s="8">
        <v>1580271</v>
      </c>
      <c r="AA315" s="10">
        <v>1920611</v>
      </c>
      <c r="AB315" s="10"/>
      <c r="AC315" s="61">
        <v>1208522</v>
      </c>
      <c r="AD315" s="59">
        <v>2497627</v>
      </c>
      <c r="AE315" s="35">
        <f t="shared" si="140"/>
        <v>3706149</v>
      </c>
      <c r="AF315" s="10"/>
      <c r="AG315" s="8">
        <v>165</v>
      </c>
      <c r="AH315" s="10">
        <v>15</v>
      </c>
      <c r="AI315" s="10">
        <v>194</v>
      </c>
      <c r="AJ315" s="5">
        <v>52</v>
      </c>
      <c r="AK315" s="10"/>
      <c r="AL315" s="8"/>
      <c r="AM315" s="10"/>
      <c r="AN315" s="35"/>
      <c r="AO315" s="10"/>
      <c r="AP315" s="10"/>
      <c r="AQ315" s="35"/>
      <c r="AR315" s="59"/>
      <c r="AS315" s="59"/>
      <c r="AT315" s="59"/>
      <c r="AU315" s="59"/>
      <c r="AV315" s="62"/>
      <c r="AW315" s="10"/>
      <c r="AX315" s="326"/>
      <c r="AY315" s="5"/>
      <c r="AZ315" s="10"/>
      <c r="BA315" s="17"/>
      <c r="BB315" s="6"/>
      <c r="BC315" s="3"/>
      <c r="BD315" s="3"/>
      <c r="BE315" s="10"/>
      <c r="BF315" s="10"/>
      <c r="BG315" s="10"/>
      <c r="BH315" s="30"/>
      <c r="BI315" s="10"/>
      <c r="BJ315" s="338"/>
      <c r="BK315" s="338"/>
      <c r="BL315" s="303"/>
      <c r="BM315" s="5"/>
      <c r="BN315" s="10"/>
      <c r="BO315" s="8"/>
      <c r="BP315" s="5"/>
      <c r="BQ315" s="10"/>
      <c r="BR315" s="29">
        <v>1998</v>
      </c>
      <c r="BS315" s="64">
        <v>1998</v>
      </c>
      <c r="BT315" s="14">
        <v>10</v>
      </c>
      <c r="BU315" s="10"/>
      <c r="BV315" s="8"/>
      <c r="BW315" s="10"/>
      <c r="BX315" s="10"/>
      <c r="BY315" s="10"/>
      <c r="BZ315" s="10"/>
      <c r="CA315" s="10"/>
      <c r="CB315" s="10"/>
      <c r="CC315" s="221"/>
      <c r="CD315" s="10"/>
      <c r="CE315" s="317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317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38">
        <f t="shared" si="141"/>
        <v>0</v>
      </c>
      <c r="DW315" s="14" t="str">
        <f t="shared" si="142"/>
        <v>PROB</v>
      </c>
    </row>
    <row r="316" spans="1:127" customFormat="1">
      <c r="A316" s="210">
        <v>35947</v>
      </c>
      <c r="B316" s="211"/>
      <c r="C316" s="8">
        <v>33</v>
      </c>
      <c r="D316" s="10">
        <v>29</v>
      </c>
      <c r="E316" s="10">
        <v>3</v>
      </c>
      <c r="F316" s="10">
        <v>0</v>
      </c>
      <c r="G316" s="10">
        <v>0</v>
      </c>
      <c r="H316" s="10">
        <v>0</v>
      </c>
      <c r="I316" s="10">
        <v>0</v>
      </c>
      <c r="J316" s="10">
        <v>2</v>
      </c>
      <c r="K316" s="10">
        <v>0</v>
      </c>
      <c r="L316" s="10">
        <v>0</v>
      </c>
      <c r="M316" s="10"/>
      <c r="N316" s="10"/>
      <c r="O316" s="10">
        <v>6</v>
      </c>
      <c r="P316" s="10">
        <v>1</v>
      </c>
      <c r="Q316" s="10">
        <v>0</v>
      </c>
      <c r="R316" s="10">
        <v>0</v>
      </c>
      <c r="S316" s="35">
        <f t="shared" si="139"/>
        <v>74</v>
      </c>
      <c r="T316" s="10">
        <v>0</v>
      </c>
      <c r="U316" s="59">
        <v>12</v>
      </c>
      <c r="V316" s="59"/>
      <c r="W316" s="10">
        <v>4</v>
      </c>
      <c r="X316" s="5">
        <v>0</v>
      </c>
      <c r="Y316" s="10"/>
      <c r="Z316" s="8">
        <v>1634244</v>
      </c>
      <c r="AA316" s="10">
        <v>1598491</v>
      </c>
      <c r="AB316" s="10"/>
      <c r="AC316" s="61">
        <v>1559312</v>
      </c>
      <c r="AD316" s="59">
        <v>1804652</v>
      </c>
      <c r="AE316" s="35">
        <f t="shared" si="140"/>
        <v>3363964</v>
      </c>
      <c r="AF316" s="10"/>
      <c r="AG316" s="8">
        <v>177</v>
      </c>
      <c r="AH316" s="10">
        <v>1</v>
      </c>
      <c r="AI316" s="10">
        <v>210</v>
      </c>
      <c r="AJ316" s="5">
        <v>52</v>
      </c>
      <c r="AK316" s="10"/>
      <c r="AL316" s="8"/>
      <c r="AM316" s="10"/>
      <c r="AN316" s="35"/>
      <c r="AO316" s="10"/>
      <c r="AP316" s="10"/>
      <c r="AQ316" s="35"/>
      <c r="AR316" s="59"/>
      <c r="AS316" s="59"/>
      <c r="AT316" s="59"/>
      <c r="AU316" s="59"/>
      <c r="AV316" s="62"/>
      <c r="AW316" s="10"/>
      <c r="AX316" s="326"/>
      <c r="AY316" s="5"/>
      <c r="AZ316" s="10"/>
      <c r="BA316" s="8">
        <v>1596</v>
      </c>
      <c r="BB316" s="10">
        <v>27846815</v>
      </c>
      <c r="BC316" s="10">
        <v>19617792</v>
      </c>
      <c r="BD316" s="10"/>
      <c r="BE316" s="10">
        <v>52</v>
      </c>
      <c r="BF316" s="10">
        <v>7</v>
      </c>
      <c r="BG316" s="10">
        <v>2</v>
      </c>
      <c r="BH316" s="30"/>
      <c r="BI316" s="10">
        <v>1745331</v>
      </c>
      <c r="BJ316" s="338"/>
      <c r="BK316" s="338"/>
      <c r="BL316" s="303"/>
      <c r="BM316" s="5"/>
      <c r="BN316" s="10"/>
      <c r="BO316" s="8"/>
      <c r="BP316" s="5">
        <v>149</v>
      </c>
      <c r="BQ316" s="10"/>
      <c r="BR316" s="29">
        <v>1998</v>
      </c>
      <c r="BS316" s="64">
        <v>1998</v>
      </c>
      <c r="BT316" s="14">
        <v>11</v>
      </c>
      <c r="BU316" s="10"/>
      <c r="BV316" s="8"/>
      <c r="BW316" s="10"/>
      <c r="BX316" s="10"/>
      <c r="BY316" s="10"/>
      <c r="BZ316" s="10"/>
      <c r="CA316" s="10"/>
      <c r="CB316" s="10"/>
      <c r="CC316" s="221"/>
      <c r="CD316" s="10"/>
      <c r="CE316" s="317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317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38">
        <f t="shared" si="141"/>
        <v>0</v>
      </c>
      <c r="DW316" s="14" t="str">
        <f t="shared" si="142"/>
        <v>PROB</v>
      </c>
    </row>
    <row r="317" spans="1:127" customFormat="1">
      <c r="A317" s="210">
        <v>35961</v>
      </c>
      <c r="B317" s="211"/>
      <c r="C317" s="8">
        <v>1</v>
      </c>
      <c r="D317" s="10">
        <v>8</v>
      </c>
      <c r="E317" s="10">
        <v>0</v>
      </c>
      <c r="F317" s="10">
        <v>0</v>
      </c>
      <c r="G317" s="10">
        <v>3</v>
      </c>
      <c r="H317" s="10">
        <v>0</v>
      </c>
      <c r="I317" s="10">
        <v>0</v>
      </c>
      <c r="J317" s="10">
        <v>6</v>
      </c>
      <c r="K317" s="10">
        <v>0</v>
      </c>
      <c r="L317" s="10">
        <v>0</v>
      </c>
      <c r="M317" s="10"/>
      <c r="N317" s="10"/>
      <c r="O317" s="10">
        <v>11</v>
      </c>
      <c r="P317" s="10">
        <v>0</v>
      </c>
      <c r="Q317" s="10">
        <v>0</v>
      </c>
      <c r="R317" s="10">
        <v>0</v>
      </c>
      <c r="S317" s="35">
        <f t="shared" si="139"/>
        <v>29</v>
      </c>
      <c r="T317" s="10">
        <v>0</v>
      </c>
      <c r="U317" s="59">
        <v>2</v>
      </c>
      <c r="V317" s="59"/>
      <c r="W317" s="10">
        <v>0</v>
      </c>
      <c r="X317" s="5">
        <v>1</v>
      </c>
      <c r="Y317" s="10"/>
      <c r="Z317" s="8">
        <v>918900</v>
      </c>
      <c r="AA317" s="10">
        <v>414033</v>
      </c>
      <c r="AB317" s="10"/>
      <c r="AC317" s="61">
        <v>302649</v>
      </c>
      <c r="AD317" s="59">
        <v>832072</v>
      </c>
      <c r="AE317" s="79">
        <f t="shared" si="140"/>
        <v>1134721</v>
      </c>
      <c r="AF317" s="10"/>
      <c r="AG317" s="8">
        <v>30</v>
      </c>
      <c r="AH317" s="10">
        <v>51</v>
      </c>
      <c r="AI317" s="10">
        <v>98</v>
      </c>
      <c r="AJ317" s="5">
        <v>20</v>
      </c>
      <c r="AK317" s="10"/>
      <c r="AL317" s="8"/>
      <c r="AM317" s="10"/>
      <c r="AN317" s="35"/>
      <c r="AO317" s="10"/>
      <c r="AP317" s="10"/>
      <c r="AQ317" s="35"/>
      <c r="AR317" s="59"/>
      <c r="AS317" s="59"/>
      <c r="AT317" s="59"/>
      <c r="AU317" s="59"/>
      <c r="AV317" s="62"/>
      <c r="AW317" s="10"/>
      <c r="AX317" s="326"/>
      <c r="AY317" s="5"/>
      <c r="AZ317" s="10"/>
      <c r="BA317" s="8"/>
      <c r="BB317" s="10"/>
      <c r="BC317" s="10"/>
      <c r="BD317" s="10"/>
      <c r="BE317" s="10"/>
      <c r="BF317" s="10"/>
      <c r="BG317" s="10"/>
      <c r="BH317" s="30"/>
      <c r="BI317" s="10"/>
      <c r="BJ317" s="338"/>
      <c r="BK317" s="338"/>
      <c r="BL317" s="303"/>
      <c r="BM317" s="5"/>
      <c r="BN317" s="10"/>
      <c r="BO317" s="8"/>
      <c r="BP317" s="5"/>
      <c r="BQ317" s="10"/>
      <c r="BR317" s="29">
        <v>1998</v>
      </c>
      <c r="BS317" s="64">
        <v>1998</v>
      </c>
      <c r="BT317" s="14">
        <v>12</v>
      </c>
      <c r="BU317" s="10"/>
      <c r="BV317" s="8"/>
      <c r="BW317" s="10"/>
      <c r="BX317" s="10"/>
      <c r="BY317" s="10"/>
      <c r="BZ317" s="10"/>
      <c r="CA317" s="10"/>
      <c r="CB317" s="10"/>
      <c r="CC317" s="221"/>
      <c r="CD317" s="10"/>
      <c r="CE317" s="317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317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38">
        <f t="shared" si="141"/>
        <v>0</v>
      </c>
      <c r="DW317" s="14" t="str">
        <f t="shared" si="142"/>
        <v>PROB</v>
      </c>
    </row>
    <row r="318" spans="1:127" s="6" customFormat="1" ht="12" thickBot="1">
      <c r="A318" s="212" t="s">
        <v>111</v>
      </c>
      <c r="B318" s="83"/>
      <c r="C318" s="52">
        <f t="shared" ref="C318:X318" si="143">SUM(C294:C317)</f>
        <v>114</v>
      </c>
      <c r="D318" s="53">
        <f t="shared" si="143"/>
        <v>494</v>
      </c>
      <c r="E318" s="53">
        <f t="shared" si="143"/>
        <v>80</v>
      </c>
      <c r="F318" s="53">
        <f t="shared" si="143"/>
        <v>18</v>
      </c>
      <c r="G318" s="53">
        <f t="shared" si="143"/>
        <v>47</v>
      </c>
      <c r="H318" s="53">
        <f t="shared" si="143"/>
        <v>48</v>
      </c>
      <c r="I318" s="53">
        <f>SUM(I294:I317)</f>
        <v>0</v>
      </c>
      <c r="J318" s="53">
        <f t="shared" si="143"/>
        <v>676</v>
      </c>
      <c r="K318" s="53">
        <f t="shared" si="143"/>
        <v>21</v>
      </c>
      <c r="L318" s="53">
        <f t="shared" si="143"/>
        <v>35</v>
      </c>
      <c r="M318" s="53"/>
      <c r="N318" s="53"/>
      <c r="O318" s="53">
        <f>SUM(O294:O317)</f>
        <v>371</v>
      </c>
      <c r="P318" s="53">
        <f t="shared" si="143"/>
        <v>21</v>
      </c>
      <c r="Q318" s="53">
        <f t="shared" si="143"/>
        <v>5</v>
      </c>
      <c r="R318" s="53">
        <f t="shared" si="143"/>
        <v>2</v>
      </c>
      <c r="S318" s="55">
        <f t="shared" si="143"/>
        <v>1932</v>
      </c>
      <c r="T318" s="53">
        <f t="shared" si="143"/>
        <v>10</v>
      </c>
      <c r="U318" s="53">
        <f t="shared" si="143"/>
        <v>171</v>
      </c>
      <c r="V318" s="53">
        <f t="shared" ref="V318" si="144">SUM(V294:V317)</f>
        <v>0</v>
      </c>
      <c r="W318" s="53">
        <f t="shared" si="143"/>
        <v>41</v>
      </c>
      <c r="X318" s="54">
        <f t="shared" si="143"/>
        <v>17</v>
      </c>
      <c r="Z318" s="52">
        <f>SUM(Z294:Z317)</f>
        <v>27469976</v>
      </c>
      <c r="AA318" s="53">
        <f>SUM(AA294:AA317)</f>
        <v>47762042</v>
      </c>
      <c r="AB318" s="53"/>
      <c r="AC318" s="52">
        <f>SUM(AC294:AC317)</f>
        <v>22379175</v>
      </c>
      <c r="AD318" s="53">
        <f>SUM(AD294:AD317)</f>
        <v>48860910</v>
      </c>
      <c r="AE318" s="55">
        <f>SUM(AE294:AE317)</f>
        <v>71240085</v>
      </c>
      <c r="AG318" s="52">
        <f>SUM(AG294:AG317)</f>
        <v>2725</v>
      </c>
      <c r="AH318" s="53">
        <f>SUM(AH294:AH317)</f>
        <v>455</v>
      </c>
      <c r="AI318" s="53">
        <f>SUM(AI294:AI317)</f>
        <v>3582</v>
      </c>
      <c r="AJ318" s="54">
        <f>SUM(AJ294:AJ317)</f>
        <v>876</v>
      </c>
      <c r="AL318" s="52">
        <f t="shared" ref="AL318:AV318" si="145">SUM(AL294:AL317)</f>
        <v>134</v>
      </c>
      <c r="AM318" s="53">
        <f t="shared" si="145"/>
        <v>456</v>
      </c>
      <c r="AN318" s="55">
        <f t="shared" si="145"/>
        <v>590</v>
      </c>
      <c r="AO318" s="53">
        <f t="shared" si="145"/>
        <v>558</v>
      </c>
      <c r="AP318" s="53">
        <f t="shared" si="145"/>
        <v>62</v>
      </c>
      <c r="AQ318" s="55">
        <f t="shared" si="145"/>
        <v>620</v>
      </c>
      <c r="AR318" s="53">
        <f t="shared" si="145"/>
        <v>0</v>
      </c>
      <c r="AS318" s="53">
        <f t="shared" si="145"/>
        <v>0</v>
      </c>
      <c r="AT318" s="53">
        <f t="shared" si="145"/>
        <v>0</v>
      </c>
      <c r="AU318" s="53">
        <f t="shared" si="145"/>
        <v>0</v>
      </c>
      <c r="AV318" s="54">
        <f t="shared" si="145"/>
        <v>0</v>
      </c>
      <c r="AX318" s="329"/>
      <c r="AY318" s="54"/>
      <c r="BA318" s="52">
        <f t="shared" ref="BA318:BM318" si="146">SUM(BA294:BA317)</f>
        <v>19277</v>
      </c>
      <c r="BB318" s="53">
        <f t="shared" si="146"/>
        <v>329953936</v>
      </c>
      <c r="BC318" s="53">
        <f t="shared" si="146"/>
        <v>213131264</v>
      </c>
      <c r="BD318" s="53"/>
      <c r="BE318" s="53">
        <f t="shared" si="146"/>
        <v>1574</v>
      </c>
      <c r="BF318" s="53">
        <f t="shared" si="146"/>
        <v>95</v>
      </c>
      <c r="BG318" s="53">
        <f t="shared" si="146"/>
        <v>87</v>
      </c>
      <c r="BH318" s="55"/>
      <c r="BI318" s="53">
        <f t="shared" si="146"/>
        <v>38743607</v>
      </c>
      <c r="BJ318" s="339"/>
      <c r="BK318" s="339"/>
      <c r="BL318" s="304"/>
      <c r="BM318" s="54">
        <f t="shared" si="146"/>
        <v>0</v>
      </c>
      <c r="BO318" s="52">
        <f>SUM(BO294:BO317)</f>
        <v>0</v>
      </c>
      <c r="BP318" s="54">
        <f>SUM(BP294:BP317)</f>
        <v>899</v>
      </c>
      <c r="BR318" s="81" t="s">
        <v>112</v>
      </c>
      <c r="BS318" s="80"/>
      <c r="BT318" s="82"/>
      <c r="BV318" s="52">
        <f>SUM(BV294:BV317)</f>
        <v>0</v>
      </c>
      <c r="BW318" s="53">
        <f>SUM(BW294:BW317)</f>
        <v>0</v>
      </c>
      <c r="BX318" s="53">
        <f t="shared" ref="BX318:DU318" si="147">SUM(BX294:BX317)</f>
        <v>0</v>
      </c>
      <c r="BY318" s="53">
        <f t="shared" si="147"/>
        <v>0</v>
      </c>
      <c r="BZ318" s="53">
        <f t="shared" si="147"/>
        <v>0</v>
      </c>
      <c r="CA318" s="53">
        <f t="shared" si="147"/>
        <v>0</v>
      </c>
      <c r="CB318" s="53">
        <f t="shared" si="147"/>
        <v>0</v>
      </c>
      <c r="CC318" s="53">
        <f t="shared" si="147"/>
        <v>0</v>
      </c>
      <c r="CD318" s="53">
        <f t="shared" si="147"/>
        <v>0</v>
      </c>
      <c r="CE318" s="53">
        <f t="shared" si="147"/>
        <v>0</v>
      </c>
      <c r="CF318" s="53">
        <f t="shared" si="147"/>
        <v>0</v>
      </c>
      <c r="CG318" s="53">
        <f t="shared" si="147"/>
        <v>0</v>
      </c>
      <c r="CH318" s="53">
        <f t="shared" si="147"/>
        <v>0</v>
      </c>
      <c r="CI318" s="53">
        <f t="shared" si="147"/>
        <v>0</v>
      </c>
      <c r="CJ318" s="53">
        <f t="shared" si="147"/>
        <v>0</v>
      </c>
      <c r="CK318" s="53">
        <f t="shared" si="147"/>
        <v>0</v>
      </c>
      <c r="CL318" s="53">
        <f t="shared" si="147"/>
        <v>0</v>
      </c>
      <c r="CM318" s="53">
        <f t="shared" si="147"/>
        <v>0</v>
      </c>
      <c r="CN318" s="53">
        <f t="shared" si="147"/>
        <v>0</v>
      </c>
      <c r="CO318" s="53">
        <f t="shared" si="147"/>
        <v>0</v>
      </c>
      <c r="CP318" s="53">
        <f t="shared" si="147"/>
        <v>0</v>
      </c>
      <c r="CQ318" s="53">
        <f t="shared" si="147"/>
        <v>0</v>
      </c>
      <c r="CR318" s="53">
        <f t="shared" si="147"/>
        <v>0</v>
      </c>
      <c r="CS318" s="53">
        <f t="shared" si="147"/>
        <v>0</v>
      </c>
      <c r="CT318" s="53">
        <f t="shared" si="147"/>
        <v>0</v>
      </c>
      <c r="CU318" s="53">
        <f t="shared" si="147"/>
        <v>0</v>
      </c>
      <c r="CV318" s="53">
        <f t="shared" si="147"/>
        <v>0</v>
      </c>
      <c r="CW318" s="53">
        <f t="shared" si="147"/>
        <v>0</v>
      </c>
      <c r="CX318" s="53">
        <f t="shared" si="147"/>
        <v>0</v>
      </c>
      <c r="CY318" s="53">
        <f t="shared" si="147"/>
        <v>0</v>
      </c>
      <c r="CZ318" s="53">
        <f t="shared" si="147"/>
        <v>0</v>
      </c>
      <c r="DA318" s="53">
        <f t="shared" si="147"/>
        <v>0</v>
      </c>
      <c r="DB318" s="53">
        <f t="shared" si="147"/>
        <v>0</v>
      </c>
      <c r="DC318" s="53">
        <f t="shared" si="147"/>
        <v>0</v>
      </c>
      <c r="DD318" s="53">
        <f t="shared" si="147"/>
        <v>0</v>
      </c>
      <c r="DE318" s="53">
        <f t="shared" si="147"/>
        <v>0</v>
      </c>
      <c r="DF318" s="53">
        <f t="shared" si="147"/>
        <v>0</v>
      </c>
      <c r="DG318" s="53">
        <f t="shared" si="147"/>
        <v>0</v>
      </c>
      <c r="DH318" s="53">
        <f t="shared" si="147"/>
        <v>0</v>
      </c>
      <c r="DI318" s="53">
        <f t="shared" si="147"/>
        <v>0</v>
      </c>
      <c r="DJ318" s="53">
        <f t="shared" si="147"/>
        <v>0</v>
      </c>
      <c r="DK318" s="53">
        <f t="shared" si="147"/>
        <v>0</v>
      </c>
      <c r="DL318" s="53">
        <f t="shared" si="147"/>
        <v>0</v>
      </c>
      <c r="DM318" s="53">
        <f t="shared" si="147"/>
        <v>0</v>
      </c>
      <c r="DN318" s="53">
        <f t="shared" si="147"/>
        <v>0</v>
      </c>
      <c r="DO318" s="53">
        <f t="shared" si="147"/>
        <v>0</v>
      </c>
      <c r="DP318" s="53">
        <f t="shared" si="147"/>
        <v>0</v>
      </c>
      <c r="DQ318" s="53">
        <f t="shared" si="147"/>
        <v>0</v>
      </c>
      <c r="DR318" s="53">
        <f t="shared" si="147"/>
        <v>0</v>
      </c>
      <c r="DS318" s="53">
        <f t="shared" si="147"/>
        <v>0</v>
      </c>
      <c r="DT318" s="53">
        <f t="shared" si="147"/>
        <v>0</v>
      </c>
      <c r="DU318" s="53">
        <f t="shared" si="147"/>
        <v>0</v>
      </c>
      <c r="DV318" s="54">
        <f t="shared" si="141"/>
        <v>0</v>
      </c>
      <c r="DW318" s="48"/>
    </row>
    <row r="319" spans="1:127" s="6" customFormat="1" ht="12" thickTop="1">
      <c r="A319" s="213" t="s">
        <v>113</v>
      </c>
      <c r="B319" s="24"/>
      <c r="C319" s="39">
        <f t="shared" ref="C319:R319" si="148">ROUND(IF(ISERROR(AVERAGE(C294:C317)),0,AVERAGE(C294:C317)),0)</f>
        <v>5</v>
      </c>
      <c r="D319" s="24">
        <f t="shared" si="148"/>
        <v>21</v>
      </c>
      <c r="E319" s="24">
        <f t="shared" si="148"/>
        <v>3</v>
      </c>
      <c r="F319" s="24">
        <f t="shared" si="148"/>
        <v>1</v>
      </c>
      <c r="G319" s="24">
        <f t="shared" si="148"/>
        <v>2</v>
      </c>
      <c r="H319" s="24">
        <f t="shared" si="148"/>
        <v>2</v>
      </c>
      <c r="I319" s="24">
        <f>ROUND(IF(ISERROR(AVERAGE(I294:I317)),0,AVERAGE(I294:I317)),0)</f>
        <v>0</v>
      </c>
      <c r="J319" s="24">
        <f t="shared" si="148"/>
        <v>28</v>
      </c>
      <c r="K319" s="24">
        <f t="shared" si="148"/>
        <v>1</v>
      </c>
      <c r="L319" s="24">
        <f t="shared" si="148"/>
        <v>1</v>
      </c>
      <c r="M319" s="24"/>
      <c r="N319" s="24"/>
      <c r="O319" s="24">
        <f>ROUND(IF(ISERROR(AVERAGE(O294:O317)),0,AVERAGE(O294:O317)),0)</f>
        <v>15</v>
      </c>
      <c r="P319" s="24">
        <f t="shared" si="148"/>
        <v>1</v>
      </c>
      <c r="Q319" s="24">
        <f t="shared" si="148"/>
        <v>0</v>
      </c>
      <c r="R319" s="24">
        <f t="shared" si="148"/>
        <v>0</v>
      </c>
      <c r="S319" s="31">
        <f>SUM(C319:R319)</f>
        <v>80</v>
      </c>
      <c r="T319" s="24">
        <f>ROUND(IF(ISERROR(AVERAGE(T294:T317)),0,AVERAGE(T294:T317)),0)</f>
        <v>0</v>
      </c>
      <c r="U319" s="24">
        <f>ROUND(IF(ISERROR(AVERAGE(U294:U317)),0,AVERAGE(U294:U317)),0)</f>
        <v>7</v>
      </c>
      <c r="V319" s="24">
        <f>ROUND(IF(ISERROR(AVERAGE(V294:V317)),0,AVERAGE(V294:V317)),0)</f>
        <v>0</v>
      </c>
      <c r="W319" s="24">
        <f>ROUND(IF(ISERROR(AVERAGE(W294:W317)),0,AVERAGE(W294:W317)),0)</f>
        <v>2</v>
      </c>
      <c r="X319" s="40">
        <f>ROUND(IF(ISERROR(AVERAGE(X294:X317)),0,AVERAGE(X294:X317)),0)</f>
        <v>1</v>
      </c>
      <c r="Z319" s="39">
        <f>ROUND(IF(ISERROR(AVERAGE(Z294:Z317)),0,AVERAGE(Z294:Z317)),0)</f>
        <v>1144582</v>
      </c>
      <c r="AA319" s="24">
        <f>ROUND(IF(ISERROR(AVERAGE(AA294:AA317)),0,AVERAGE(AA294:AA317)),0)</f>
        <v>1990085</v>
      </c>
      <c r="AB319" s="24"/>
      <c r="AC319" s="39">
        <f>ROUND(IF(ISERROR(AVERAGE(AC294:AC317)),0,AVERAGE(AC294:AC317)),0)</f>
        <v>932466</v>
      </c>
      <c r="AD319" s="24">
        <f>ROUND(IF(ISERROR(AVERAGE(AD294:AD317)),0,AVERAGE(AD294:AD317)),0)</f>
        <v>2035871</v>
      </c>
      <c r="AE319" s="31">
        <f>SUM(AC319:AD319)</f>
        <v>2968337</v>
      </c>
      <c r="AG319" s="39">
        <f>ROUND(IF(ISERROR(AVERAGE(AG294:AG317)),0,AVERAGE(AG294:AG317)),0)</f>
        <v>114</v>
      </c>
      <c r="AH319" s="24">
        <f>ROUND(IF(ISERROR(AVERAGE(AH294:AH317)),0,AVERAGE(AH294:AH317)),0)</f>
        <v>19</v>
      </c>
      <c r="AI319" s="24">
        <f>ROUND(IF(ISERROR(AVERAGE(AI294:AI317)),0,AVERAGE(AI294:AI317)),0)</f>
        <v>149</v>
      </c>
      <c r="AJ319" s="40">
        <f>ROUND(IF(ISERROR(AVERAGE(AJ294:AJ317)),0,AVERAGE(AJ294:AJ317)),0)</f>
        <v>37</v>
      </c>
      <c r="AL319" s="39">
        <f>ROUND(IF(ISERROR(AVERAGE(AL294:AL317)),0,AVERAGE(AL294:AL317)),0)</f>
        <v>34</v>
      </c>
      <c r="AM319" s="24">
        <f>ROUND(IF(ISERROR(AVERAGE(AM294:AM317)),0,AVERAGE(AM294:AM317)),0)</f>
        <v>114</v>
      </c>
      <c r="AN319" s="31">
        <f>SUM(AL319:AM319)</f>
        <v>148</v>
      </c>
      <c r="AO319" s="24">
        <f>ROUND(IF(ISERROR(AVERAGE(AO294:AO317)),0,AVERAGE(AO294:AO317)),0)</f>
        <v>140</v>
      </c>
      <c r="AP319" s="24">
        <f>ROUND(IF(ISERROR(AVERAGE(AP294:AP317)),0,AVERAGE(AP294:AP317)),0)</f>
        <v>16</v>
      </c>
      <c r="AQ319" s="31">
        <f>SUM(AO319:AP319)</f>
        <v>156</v>
      </c>
      <c r="AR319" s="24">
        <f>ROUND(IF(ISERROR(AVERAGE(AR294:AR317)),0,AVERAGE(AR294:AR317)),0)</f>
        <v>0</v>
      </c>
      <c r="AS319" s="24">
        <f>ROUND(IF(ISERROR(AVERAGE(AS294:AS317)),0,AVERAGE(AS294:AS317)),0)</f>
        <v>0</v>
      </c>
      <c r="AT319" s="24">
        <f>ROUND(IF(ISERROR(AVERAGE(AT294:AT317)),0,AVERAGE(AT294:AT317)),0)</f>
        <v>0</v>
      </c>
      <c r="AU319" s="24">
        <f>ROUND(IF(ISERROR(AVERAGE(AU294:AU317)),0,AVERAGE(AU294:AU317)),0)</f>
        <v>0</v>
      </c>
      <c r="AV319" s="40">
        <f>ROUND(IF(ISERROR(AVERAGE(AV294:AV317)),0,AVERAGE(AV294:AV317)),0)</f>
        <v>0</v>
      </c>
      <c r="AX319" s="330"/>
      <c r="AY319" s="40"/>
      <c r="BA319" s="39">
        <f t="shared" ref="BA319:BM319" si="149">ROUND(IF(ISERROR(AVERAGE(BA294:BA317)),0,AVERAGE(BA294:BA317)),0)</f>
        <v>1606</v>
      </c>
      <c r="BB319" s="24">
        <f t="shared" si="149"/>
        <v>27496161</v>
      </c>
      <c r="BC319" s="24">
        <f t="shared" si="149"/>
        <v>19375569</v>
      </c>
      <c r="BD319" s="24"/>
      <c r="BE319" s="24">
        <f t="shared" si="149"/>
        <v>131</v>
      </c>
      <c r="BF319" s="24">
        <f t="shared" si="149"/>
        <v>8</v>
      </c>
      <c r="BG319" s="24">
        <f t="shared" si="149"/>
        <v>7</v>
      </c>
      <c r="BH319" s="31"/>
      <c r="BI319" s="24">
        <f t="shared" si="149"/>
        <v>3228634</v>
      </c>
      <c r="BJ319" s="340"/>
      <c r="BK319" s="340"/>
      <c r="BL319" s="305"/>
      <c r="BM319" s="40">
        <f t="shared" si="149"/>
        <v>0</v>
      </c>
      <c r="BO319" s="39">
        <f>ROUND(IF(ISERROR(AVERAGE(BO294:BO317)),0,AVERAGE(BO294:BO317)),0)</f>
        <v>0</v>
      </c>
      <c r="BP319" s="40">
        <f>ROUND(IF(ISERROR(AVERAGE(BP294:BP317)),0,AVERAGE(BP294:BP317)),0)</f>
        <v>150</v>
      </c>
      <c r="BR319" s="65" t="s">
        <v>114</v>
      </c>
      <c r="BS319" s="19"/>
      <c r="BT319" s="14"/>
      <c r="BV319" s="39">
        <f>ROUND(IF(ISERROR(AVERAGE(BV294:BV317)),0,AVERAGE(BV294:BV317)),0)</f>
        <v>0</v>
      </c>
      <c r="BW319" s="24">
        <f>ROUND(IF(ISERROR(AVERAGE(BW294:BW317)),0,AVERAGE(BW294:BW317)),0)</f>
        <v>0</v>
      </c>
      <c r="BX319" s="24">
        <f t="shared" ref="BX319:DU319" si="150">ROUND(IF(ISERROR(AVERAGE(BX294:BX317)),0,AVERAGE(BX294:BX317)),0)</f>
        <v>0</v>
      </c>
      <c r="BY319" s="24">
        <f t="shared" si="150"/>
        <v>0</v>
      </c>
      <c r="BZ319" s="24">
        <f t="shared" si="150"/>
        <v>0</v>
      </c>
      <c r="CA319" s="24">
        <f t="shared" si="150"/>
        <v>0</v>
      </c>
      <c r="CB319" s="24">
        <f t="shared" si="150"/>
        <v>0</v>
      </c>
      <c r="CC319" s="24">
        <f t="shared" si="150"/>
        <v>0</v>
      </c>
      <c r="CD319" s="24">
        <f t="shared" si="150"/>
        <v>0</v>
      </c>
      <c r="CE319" s="24">
        <f t="shared" si="150"/>
        <v>0</v>
      </c>
      <c r="CF319" s="24">
        <f t="shared" si="150"/>
        <v>0</v>
      </c>
      <c r="CG319" s="24">
        <f t="shared" si="150"/>
        <v>0</v>
      </c>
      <c r="CH319" s="24">
        <f t="shared" si="150"/>
        <v>0</v>
      </c>
      <c r="CI319" s="24">
        <f t="shared" si="150"/>
        <v>0</v>
      </c>
      <c r="CJ319" s="24">
        <f t="shared" si="150"/>
        <v>0</v>
      </c>
      <c r="CK319" s="24">
        <f t="shared" si="150"/>
        <v>0</v>
      </c>
      <c r="CL319" s="24">
        <f t="shared" si="150"/>
        <v>0</v>
      </c>
      <c r="CM319" s="24">
        <f t="shared" si="150"/>
        <v>0</v>
      </c>
      <c r="CN319" s="24">
        <f t="shared" si="150"/>
        <v>0</v>
      </c>
      <c r="CO319" s="24">
        <f t="shared" si="150"/>
        <v>0</v>
      </c>
      <c r="CP319" s="24">
        <f t="shared" si="150"/>
        <v>0</v>
      </c>
      <c r="CQ319" s="24">
        <f t="shared" si="150"/>
        <v>0</v>
      </c>
      <c r="CR319" s="24">
        <f t="shared" si="150"/>
        <v>0</v>
      </c>
      <c r="CS319" s="24">
        <f t="shared" si="150"/>
        <v>0</v>
      </c>
      <c r="CT319" s="24">
        <f t="shared" si="150"/>
        <v>0</v>
      </c>
      <c r="CU319" s="24">
        <f t="shared" si="150"/>
        <v>0</v>
      </c>
      <c r="CV319" s="24">
        <f t="shared" si="150"/>
        <v>0</v>
      </c>
      <c r="CW319" s="24">
        <f t="shared" si="150"/>
        <v>0</v>
      </c>
      <c r="CX319" s="24">
        <f t="shared" si="150"/>
        <v>0</v>
      </c>
      <c r="CY319" s="24">
        <f t="shared" si="150"/>
        <v>0</v>
      </c>
      <c r="CZ319" s="24">
        <f t="shared" si="150"/>
        <v>0</v>
      </c>
      <c r="DA319" s="24">
        <f t="shared" si="150"/>
        <v>0</v>
      </c>
      <c r="DB319" s="24">
        <f t="shared" si="150"/>
        <v>0</v>
      </c>
      <c r="DC319" s="24">
        <f t="shared" si="150"/>
        <v>0</v>
      </c>
      <c r="DD319" s="24">
        <f t="shared" si="150"/>
        <v>0</v>
      </c>
      <c r="DE319" s="24">
        <f t="shared" si="150"/>
        <v>0</v>
      </c>
      <c r="DF319" s="24">
        <f t="shared" si="150"/>
        <v>0</v>
      </c>
      <c r="DG319" s="24">
        <f t="shared" si="150"/>
        <v>0</v>
      </c>
      <c r="DH319" s="24">
        <f t="shared" si="150"/>
        <v>0</v>
      </c>
      <c r="DI319" s="24">
        <f t="shared" si="150"/>
        <v>0</v>
      </c>
      <c r="DJ319" s="24">
        <f t="shared" si="150"/>
        <v>0</v>
      </c>
      <c r="DK319" s="24">
        <f t="shared" si="150"/>
        <v>0</v>
      </c>
      <c r="DL319" s="24">
        <f t="shared" si="150"/>
        <v>0</v>
      </c>
      <c r="DM319" s="24">
        <f t="shared" si="150"/>
        <v>0</v>
      </c>
      <c r="DN319" s="24">
        <f t="shared" si="150"/>
        <v>0</v>
      </c>
      <c r="DO319" s="24">
        <f t="shared" si="150"/>
        <v>0</v>
      </c>
      <c r="DP319" s="24">
        <f t="shared" si="150"/>
        <v>0</v>
      </c>
      <c r="DQ319" s="24">
        <f t="shared" si="150"/>
        <v>0</v>
      </c>
      <c r="DR319" s="24">
        <f t="shared" si="150"/>
        <v>0</v>
      </c>
      <c r="DS319" s="24">
        <f t="shared" si="150"/>
        <v>0</v>
      </c>
      <c r="DT319" s="24">
        <f t="shared" si="150"/>
        <v>0</v>
      </c>
      <c r="DU319" s="24">
        <f t="shared" si="150"/>
        <v>0</v>
      </c>
      <c r="DV319" s="18"/>
      <c r="DW319" s="48"/>
    </row>
    <row r="320" spans="1:127" customFormat="1">
      <c r="A320" s="210" t="s">
        <v>115</v>
      </c>
      <c r="B320" s="211"/>
      <c r="C320" s="8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30">
        <f>MEDIAN(S294:S317)</f>
        <v>67.5</v>
      </c>
      <c r="T320" s="10"/>
      <c r="U320" s="10"/>
      <c r="V320" s="10"/>
      <c r="W320" s="10"/>
      <c r="X320" s="5"/>
      <c r="Y320" s="10"/>
      <c r="Z320" s="8"/>
      <c r="AA320" s="10">
        <f>IF(ISERROR(MEDIAN(AA294:AA317)),"",MEDIAN(AA294:AA317))</f>
        <v>1311419.5</v>
      </c>
      <c r="AB320" s="10"/>
      <c r="AC320" s="8"/>
      <c r="AD320" s="10"/>
      <c r="AE320" s="30"/>
      <c r="AF320" s="10"/>
      <c r="AG320" s="8"/>
      <c r="AH320" s="10"/>
      <c r="AI320" s="10">
        <f>IF(ISERROR(MEDIAN(AI294:AI317)),"",MEDIAN(AI294:AI317))</f>
        <v>139</v>
      </c>
      <c r="AJ320" s="5">
        <f>IF(ISERROR(MEDIAN(AJ294:AJ317)),"",MEDIAN(AJ294:AJ317))</f>
        <v>36</v>
      </c>
      <c r="AK320" s="10"/>
      <c r="AL320" s="8"/>
      <c r="AM320" s="10"/>
      <c r="AN320" s="30"/>
      <c r="AO320" s="10"/>
      <c r="AP320" s="10"/>
      <c r="AQ320" s="30"/>
      <c r="AR320" s="10"/>
      <c r="AS320" s="10"/>
      <c r="AT320" s="10"/>
      <c r="AU320" s="10"/>
      <c r="AV320" s="5"/>
      <c r="AW320" s="10"/>
      <c r="AX320" s="326"/>
      <c r="AY320" s="5"/>
      <c r="AZ320" s="10"/>
      <c r="BA320" s="8">
        <f>IF(ISERROR(MEDIAN(BA294:BA317)),"",MEDIAN(BA294:BA317))</f>
        <v>1608</v>
      </c>
      <c r="BB320" s="10"/>
      <c r="BC320" s="10"/>
      <c r="BD320" s="10"/>
      <c r="BE320" s="10"/>
      <c r="BF320" s="10"/>
      <c r="BG320" s="10"/>
      <c r="BH320" s="30"/>
      <c r="BI320" s="10"/>
      <c r="BJ320" s="338"/>
      <c r="BK320" s="338"/>
      <c r="BL320" s="303"/>
      <c r="BM320" s="5"/>
      <c r="BN320" s="10"/>
      <c r="BO320" s="8"/>
      <c r="BP320" s="5"/>
      <c r="BQ320" s="10"/>
      <c r="BR320" s="65"/>
      <c r="BS320" s="19"/>
      <c r="BT320" s="14"/>
      <c r="BU320" s="10"/>
      <c r="BV320" s="8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5"/>
      <c r="DW320" s="21"/>
    </row>
    <row r="321" spans="1:127" customFormat="1" ht="12" thickBot="1">
      <c r="A321" s="214" t="s">
        <v>116</v>
      </c>
      <c r="B321" s="195"/>
      <c r="C321" s="41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32">
        <f>MODE(S294:S317)</f>
        <v>91</v>
      </c>
      <c r="T321" s="22"/>
      <c r="U321" s="22"/>
      <c r="V321" s="22"/>
      <c r="W321" s="22"/>
      <c r="X321" s="42"/>
      <c r="Y321" s="22"/>
      <c r="Z321" s="41"/>
      <c r="AA321" s="22"/>
      <c r="AB321" s="22"/>
      <c r="AC321" s="41"/>
      <c r="AD321" s="22"/>
      <c r="AE321" s="32"/>
      <c r="AF321" s="22"/>
      <c r="AG321" s="41"/>
      <c r="AH321" s="22"/>
      <c r="AI321" s="22">
        <f>IF(ISERROR(MODE(AI294:AI317)),"",MODE(AI294:AI317))</f>
        <v>132</v>
      </c>
      <c r="AJ321" s="42">
        <f>IF(ISERROR(MODE(AJ294:AJ317)),"",MODE(AJ294:AJ317))</f>
        <v>36</v>
      </c>
      <c r="AK321" s="22"/>
      <c r="AL321" s="41"/>
      <c r="AM321" s="22"/>
      <c r="AN321" s="32"/>
      <c r="AO321" s="22"/>
      <c r="AP321" s="22"/>
      <c r="AQ321" s="32"/>
      <c r="AR321" s="22"/>
      <c r="AS321" s="22"/>
      <c r="AT321" s="22"/>
      <c r="AU321" s="22"/>
      <c r="AV321" s="42"/>
      <c r="AW321" s="22"/>
      <c r="AX321" s="331"/>
      <c r="AY321" s="42"/>
      <c r="AZ321" s="22"/>
      <c r="BA321" s="41"/>
      <c r="BB321" s="22"/>
      <c r="BC321" s="22"/>
      <c r="BD321" s="22"/>
      <c r="BE321" s="22"/>
      <c r="BF321" s="22"/>
      <c r="BG321" s="22"/>
      <c r="BH321" s="32"/>
      <c r="BI321" s="22"/>
      <c r="BJ321" s="341"/>
      <c r="BK321" s="341"/>
      <c r="BL321" s="306"/>
      <c r="BM321" s="42"/>
      <c r="BN321" s="22"/>
      <c r="BO321" s="41"/>
      <c r="BP321" s="42"/>
      <c r="BQ321" s="22"/>
      <c r="BR321" s="66"/>
      <c r="BS321" s="51"/>
      <c r="BT321" s="67"/>
      <c r="BU321" s="22"/>
      <c r="BV321" s="41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/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42"/>
      <c r="DW321" s="23"/>
    </row>
    <row r="322" spans="1:127" customFormat="1" ht="12" thickBot="1">
      <c r="A322" s="194"/>
      <c r="B322" s="194"/>
      <c r="C322" s="8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30"/>
      <c r="T322" s="10"/>
      <c r="U322" s="97">
        <f>U318/S318</f>
        <v>8.8509316770186336E-2</v>
      </c>
      <c r="V322" s="97"/>
      <c r="W322" s="10"/>
      <c r="X322" s="5"/>
      <c r="Z322" s="8"/>
      <c r="AA322" s="10"/>
      <c r="AB322" s="10"/>
      <c r="AC322" s="8"/>
      <c r="AD322" s="10"/>
      <c r="AE322" s="30"/>
      <c r="AG322" s="8"/>
      <c r="AH322" s="10"/>
      <c r="AI322" s="10"/>
      <c r="AJ322" s="5"/>
      <c r="AL322" s="8"/>
      <c r="AM322" s="10"/>
      <c r="AN322" s="30"/>
      <c r="AO322" s="10"/>
      <c r="AP322" s="10"/>
      <c r="AQ322" s="30"/>
      <c r="AR322" s="10"/>
      <c r="AS322" s="10"/>
      <c r="AT322" s="10"/>
      <c r="AU322" s="10"/>
      <c r="AV322" s="5"/>
      <c r="AX322" s="326"/>
      <c r="AY322" s="5"/>
      <c r="AZ322" s="324"/>
      <c r="BA322" s="8"/>
      <c r="BB322" s="10"/>
      <c r="BC322" s="10"/>
      <c r="BD322" s="10"/>
      <c r="BE322" s="10"/>
      <c r="BF322" s="10"/>
      <c r="BG322" s="10"/>
      <c r="BH322" s="30"/>
      <c r="BI322" s="10"/>
      <c r="BJ322" s="338"/>
      <c r="BK322" s="338"/>
      <c r="BL322" s="303"/>
      <c r="BM322" s="5"/>
      <c r="BO322" s="8"/>
      <c r="BP322" s="5"/>
      <c r="BR322" s="65"/>
      <c r="BS322" s="19"/>
      <c r="BT322" s="14"/>
      <c r="BV322" s="8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5"/>
    </row>
    <row r="323" spans="1:127" customFormat="1">
      <c r="A323" s="208">
        <v>35977</v>
      </c>
      <c r="B323" s="209"/>
      <c r="C323" s="36">
        <v>2</v>
      </c>
      <c r="D323" s="9">
        <v>11</v>
      </c>
      <c r="E323" s="9">
        <v>4</v>
      </c>
      <c r="F323" s="9">
        <v>0</v>
      </c>
      <c r="G323" s="9">
        <v>0</v>
      </c>
      <c r="H323" s="9">
        <v>0</v>
      </c>
      <c r="I323" s="9">
        <v>0</v>
      </c>
      <c r="J323" s="9">
        <v>11</v>
      </c>
      <c r="K323" s="9">
        <v>0</v>
      </c>
      <c r="L323" s="9">
        <v>0</v>
      </c>
      <c r="M323" s="9"/>
      <c r="N323" s="9"/>
      <c r="O323" s="9">
        <v>7</v>
      </c>
      <c r="P323" s="9">
        <v>0</v>
      </c>
      <c r="Q323" s="9">
        <v>0</v>
      </c>
      <c r="R323" s="9">
        <v>0</v>
      </c>
      <c r="S323" s="33">
        <f t="shared" ref="S323:S346" si="151">SUM(C323:R323)</f>
        <v>35</v>
      </c>
      <c r="T323" s="9">
        <v>0</v>
      </c>
      <c r="U323" s="9">
        <v>11</v>
      </c>
      <c r="V323" s="9"/>
      <c r="W323" s="9">
        <v>0</v>
      </c>
      <c r="X323" s="37">
        <v>0</v>
      </c>
      <c r="Y323" s="9"/>
      <c r="Z323" s="36">
        <v>1021950</v>
      </c>
      <c r="AA323" s="9">
        <v>880277</v>
      </c>
      <c r="AB323" s="9"/>
      <c r="AC323" s="36">
        <v>677674</v>
      </c>
      <c r="AD323" s="9">
        <v>1288262</v>
      </c>
      <c r="AE323" s="33">
        <f t="shared" ref="AE323:AE346" si="152">SUM(AC323:AD323)</f>
        <v>1965936</v>
      </c>
      <c r="AF323" s="9"/>
      <c r="AG323" s="36">
        <v>34</v>
      </c>
      <c r="AH323" s="9">
        <v>56</v>
      </c>
      <c r="AI323" s="9">
        <v>100</v>
      </c>
      <c r="AJ323" s="37">
        <v>20</v>
      </c>
      <c r="AK323" s="9"/>
      <c r="AL323" s="36">
        <v>37</v>
      </c>
      <c r="AM323" s="9">
        <v>89</v>
      </c>
      <c r="AN323" s="33">
        <f>SUM(AL323:AM323)</f>
        <v>126</v>
      </c>
      <c r="AO323" s="9">
        <v>138</v>
      </c>
      <c r="AP323" s="9">
        <v>10</v>
      </c>
      <c r="AQ323" s="33">
        <f>SUM(AO323:AP323)</f>
        <v>148</v>
      </c>
      <c r="AR323" s="92"/>
      <c r="AS323" s="92"/>
      <c r="AT323" s="92"/>
      <c r="AU323" s="92"/>
      <c r="AV323" s="93"/>
      <c r="AW323" s="9"/>
      <c r="AX323" s="325"/>
      <c r="AY323" s="37"/>
      <c r="AZ323" s="9"/>
      <c r="BA323" s="36">
        <v>1603</v>
      </c>
      <c r="BB323" s="9">
        <v>27985677</v>
      </c>
      <c r="BC323" s="9">
        <v>19693568</v>
      </c>
      <c r="BD323" s="9"/>
      <c r="BE323" s="9">
        <v>77</v>
      </c>
      <c r="BF323" s="9">
        <v>8</v>
      </c>
      <c r="BG323" s="9">
        <v>1</v>
      </c>
      <c r="BH323" s="350"/>
      <c r="BI323" s="9">
        <v>2005687</v>
      </c>
      <c r="BJ323" s="337"/>
      <c r="BK323" s="337"/>
      <c r="BL323" s="302"/>
      <c r="BM323" s="37"/>
      <c r="BN323" s="9"/>
      <c r="BO323" s="36"/>
      <c r="BP323" s="37">
        <v>149</v>
      </c>
      <c r="BQ323" s="9"/>
      <c r="BR323" s="74">
        <v>1999</v>
      </c>
      <c r="BS323" s="75">
        <v>1998</v>
      </c>
      <c r="BT323" s="13">
        <v>13</v>
      </c>
      <c r="BU323" s="9"/>
      <c r="BV323" s="36"/>
      <c r="BW323" s="9"/>
      <c r="BX323" s="9"/>
      <c r="BY323" s="9"/>
      <c r="BZ323" s="9"/>
      <c r="CA323" s="9"/>
      <c r="CB323" s="9"/>
      <c r="CC323" s="223"/>
      <c r="CD323" s="9"/>
      <c r="CE323" s="220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220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44">
        <f t="shared" ref="DV323:DV347" si="153">SUM(BV323:DU323)</f>
        <v>0</v>
      </c>
      <c r="DW323" s="13" t="str">
        <f t="shared" ref="DW323:DW346" si="154">IF(DV323=S323,"","PROB")</f>
        <v>PROB</v>
      </c>
    </row>
    <row r="324" spans="1:127" customFormat="1">
      <c r="A324" s="210">
        <v>35991</v>
      </c>
      <c r="B324" s="211"/>
      <c r="C324" s="8">
        <v>8</v>
      </c>
      <c r="D324" s="10">
        <v>13</v>
      </c>
      <c r="E324" s="10">
        <v>1</v>
      </c>
      <c r="F324" s="10">
        <v>0</v>
      </c>
      <c r="G324" s="10">
        <v>3</v>
      </c>
      <c r="H324" s="10">
        <v>2</v>
      </c>
      <c r="I324" s="10">
        <v>0</v>
      </c>
      <c r="J324" s="10">
        <v>12</v>
      </c>
      <c r="K324" s="10">
        <v>0</v>
      </c>
      <c r="L324" s="10">
        <v>0</v>
      </c>
      <c r="M324" s="10"/>
      <c r="N324" s="10"/>
      <c r="O324" s="10">
        <v>4</v>
      </c>
      <c r="P324" s="10">
        <v>1</v>
      </c>
      <c r="Q324" s="10">
        <v>0</v>
      </c>
      <c r="R324" s="10">
        <v>0</v>
      </c>
      <c r="S324" s="35">
        <f t="shared" si="151"/>
        <v>44</v>
      </c>
      <c r="T324" s="10">
        <v>4</v>
      </c>
      <c r="U324" s="59">
        <v>8</v>
      </c>
      <c r="V324" s="59"/>
      <c r="W324" s="10">
        <v>0</v>
      </c>
      <c r="X324" s="5">
        <v>0</v>
      </c>
      <c r="Y324" s="10"/>
      <c r="Z324" s="8">
        <v>1054981</v>
      </c>
      <c r="AA324" s="10">
        <v>927941</v>
      </c>
      <c r="AB324" s="10"/>
      <c r="AC324" s="61">
        <v>701538</v>
      </c>
      <c r="AD324" s="59">
        <v>1382303</v>
      </c>
      <c r="AE324" s="35">
        <f t="shared" si="152"/>
        <v>2083841</v>
      </c>
      <c r="AF324" s="10"/>
      <c r="AG324" s="8">
        <v>104</v>
      </c>
      <c r="AH324" s="10">
        <v>20</v>
      </c>
      <c r="AI324" s="10">
        <v>136</v>
      </c>
      <c r="AJ324" s="5">
        <v>32</v>
      </c>
      <c r="AK324" s="10"/>
      <c r="AL324" s="8"/>
      <c r="AM324" s="10"/>
      <c r="AN324" s="35"/>
      <c r="AO324" s="10"/>
      <c r="AP324" s="10"/>
      <c r="AQ324" s="35"/>
      <c r="AR324" s="59"/>
      <c r="AS324" s="59"/>
      <c r="AT324" s="59"/>
      <c r="AU324" s="59"/>
      <c r="AV324" s="62"/>
      <c r="AW324" s="10"/>
      <c r="AX324" s="326"/>
      <c r="AY324" s="5"/>
      <c r="AZ324" s="10"/>
      <c r="BA324" s="8"/>
      <c r="BB324" s="10"/>
      <c r="BC324" s="10"/>
      <c r="BD324" s="10"/>
      <c r="BE324" s="10"/>
      <c r="BF324" s="10"/>
      <c r="BG324" s="10"/>
      <c r="BH324" s="30"/>
      <c r="BI324" s="10"/>
      <c r="BJ324" s="338"/>
      <c r="BK324" s="338"/>
      <c r="BL324" s="303"/>
      <c r="BM324" s="5"/>
      <c r="BN324" s="10"/>
      <c r="BO324" s="8"/>
      <c r="BP324" s="5"/>
      <c r="BQ324" s="10"/>
      <c r="BR324" s="29">
        <v>1999</v>
      </c>
      <c r="BS324" s="64">
        <v>1998</v>
      </c>
      <c r="BT324" s="14">
        <v>14</v>
      </c>
      <c r="BU324" s="10"/>
      <c r="BV324" s="8"/>
      <c r="BW324" s="10"/>
      <c r="BX324" s="10"/>
      <c r="BY324" s="10"/>
      <c r="BZ324" s="10"/>
      <c r="CA324" s="10"/>
      <c r="CB324" s="10"/>
      <c r="CC324" s="221"/>
      <c r="CD324" s="10"/>
      <c r="CE324" s="317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317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38">
        <f t="shared" si="153"/>
        <v>0</v>
      </c>
      <c r="DW324" s="14" t="str">
        <f t="shared" si="154"/>
        <v>PROB</v>
      </c>
    </row>
    <row r="325" spans="1:127" customFormat="1">
      <c r="A325" s="210">
        <v>36008</v>
      </c>
      <c r="B325" s="211"/>
      <c r="C325" s="8">
        <v>3</v>
      </c>
      <c r="D325" s="10">
        <v>18</v>
      </c>
      <c r="E325" s="10">
        <v>1</v>
      </c>
      <c r="F325" s="10">
        <v>2</v>
      </c>
      <c r="G325" s="10">
        <v>0</v>
      </c>
      <c r="H325" s="10">
        <v>0</v>
      </c>
      <c r="I325" s="10">
        <v>0</v>
      </c>
      <c r="J325" s="10">
        <v>1</v>
      </c>
      <c r="K325" s="10">
        <v>0</v>
      </c>
      <c r="L325" s="10">
        <v>0</v>
      </c>
      <c r="M325" s="10"/>
      <c r="N325" s="10"/>
      <c r="O325" s="10">
        <v>8</v>
      </c>
      <c r="P325" s="10">
        <v>0</v>
      </c>
      <c r="Q325" s="10">
        <v>1</v>
      </c>
      <c r="R325" s="10">
        <v>0</v>
      </c>
      <c r="S325" s="35">
        <f t="shared" si="151"/>
        <v>34</v>
      </c>
      <c r="T325" s="10">
        <v>1</v>
      </c>
      <c r="U325" s="59">
        <v>16</v>
      </c>
      <c r="V325" s="59"/>
      <c r="W325" s="10">
        <v>0</v>
      </c>
      <c r="X325" s="5">
        <v>0</v>
      </c>
      <c r="Y325" s="10"/>
      <c r="Z325" s="8">
        <v>1431172</v>
      </c>
      <c r="AA325" s="10">
        <v>655877</v>
      </c>
      <c r="AB325" s="10"/>
      <c r="AC325" s="61">
        <v>636508</v>
      </c>
      <c r="AD325" s="59">
        <v>1032809</v>
      </c>
      <c r="AE325" s="35">
        <f t="shared" si="152"/>
        <v>1669317</v>
      </c>
      <c r="AF325" s="10"/>
      <c r="AG325" s="8">
        <v>78</v>
      </c>
      <c r="AH325" s="10">
        <v>66</v>
      </c>
      <c r="AI325" s="10">
        <v>152</v>
      </c>
      <c r="AJ325" s="5">
        <v>32</v>
      </c>
      <c r="AK325" s="10"/>
      <c r="AL325" s="8"/>
      <c r="AM325" s="10"/>
      <c r="AN325" s="35"/>
      <c r="AO325" s="10"/>
      <c r="AP325" s="10"/>
      <c r="AQ325" s="35"/>
      <c r="AR325" s="59"/>
      <c r="AS325" s="59"/>
      <c r="AT325" s="59"/>
      <c r="AU325" s="59"/>
      <c r="AV325" s="62"/>
      <c r="AW325" s="10"/>
      <c r="AX325" s="326"/>
      <c r="AY325" s="5"/>
      <c r="AZ325" s="10"/>
      <c r="BA325" s="8">
        <v>1607</v>
      </c>
      <c r="BB325" s="10">
        <v>28053178</v>
      </c>
      <c r="BC325" s="10">
        <v>19750912</v>
      </c>
      <c r="BD325" s="10"/>
      <c r="BE325" s="10">
        <v>40</v>
      </c>
      <c r="BF325" s="10">
        <v>6</v>
      </c>
      <c r="BG325" s="10">
        <v>0</v>
      </c>
      <c r="BH325" s="30"/>
      <c r="BI325" s="10">
        <v>1063666</v>
      </c>
      <c r="BJ325" s="338"/>
      <c r="BK325" s="338"/>
      <c r="BL325" s="303"/>
      <c r="BM325" s="5"/>
      <c r="BN325" s="10"/>
      <c r="BO325" s="8"/>
      <c r="BP325" s="5">
        <v>150</v>
      </c>
      <c r="BQ325" s="10"/>
      <c r="BR325" s="29">
        <v>1999</v>
      </c>
      <c r="BS325" s="64">
        <v>1998</v>
      </c>
      <c r="BT325" s="14">
        <v>15</v>
      </c>
      <c r="BU325" s="10"/>
      <c r="BV325" s="8"/>
      <c r="BW325" s="10"/>
      <c r="BX325" s="10"/>
      <c r="BY325" s="10"/>
      <c r="BZ325" s="10"/>
      <c r="CA325" s="10"/>
      <c r="CB325" s="10"/>
      <c r="CC325" s="221"/>
      <c r="CD325" s="10"/>
      <c r="CE325" s="317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317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38">
        <f t="shared" si="153"/>
        <v>0</v>
      </c>
      <c r="DW325" s="14" t="str">
        <f t="shared" si="154"/>
        <v>PROB</v>
      </c>
    </row>
    <row r="326" spans="1:127" customFormat="1">
      <c r="A326" s="210">
        <v>36022</v>
      </c>
      <c r="B326" s="211"/>
      <c r="C326" s="8">
        <v>3</v>
      </c>
      <c r="D326" s="10">
        <v>19</v>
      </c>
      <c r="E326" s="10">
        <v>1</v>
      </c>
      <c r="F326" s="10">
        <v>0</v>
      </c>
      <c r="G326" s="10">
        <v>3</v>
      </c>
      <c r="H326" s="10">
        <v>3</v>
      </c>
      <c r="I326" s="10">
        <v>0</v>
      </c>
      <c r="J326" s="10">
        <v>12</v>
      </c>
      <c r="K326" s="10">
        <v>0</v>
      </c>
      <c r="L326" s="10">
        <v>2</v>
      </c>
      <c r="M326" s="10"/>
      <c r="N326" s="10"/>
      <c r="O326" s="10">
        <v>1</v>
      </c>
      <c r="P326" s="10">
        <v>0</v>
      </c>
      <c r="Q326" s="10">
        <v>0</v>
      </c>
      <c r="R326" s="10">
        <v>0</v>
      </c>
      <c r="S326" s="35">
        <f t="shared" si="151"/>
        <v>44</v>
      </c>
      <c r="T326" s="10">
        <v>0</v>
      </c>
      <c r="U326" s="59">
        <v>17</v>
      </c>
      <c r="V326" s="59"/>
      <c r="W326" s="10">
        <v>0</v>
      </c>
      <c r="X326" s="5">
        <v>0</v>
      </c>
      <c r="Y326" s="10"/>
      <c r="Z326" s="8">
        <v>1008622</v>
      </c>
      <c r="AA326" s="10">
        <v>856524</v>
      </c>
      <c r="AB326" s="10"/>
      <c r="AC326" s="61">
        <v>606330</v>
      </c>
      <c r="AD326" s="59">
        <v>932503</v>
      </c>
      <c r="AE326" s="35">
        <f t="shared" si="152"/>
        <v>1538833</v>
      </c>
      <c r="AF326" s="10"/>
      <c r="AG326" s="8">
        <v>94</v>
      </c>
      <c r="AH326" s="10">
        <v>24</v>
      </c>
      <c r="AI326" s="10">
        <v>128</v>
      </c>
      <c r="AJ326" s="5">
        <v>32</v>
      </c>
      <c r="AK326" s="10"/>
      <c r="AL326" s="8"/>
      <c r="AM326" s="10"/>
      <c r="AN326" s="35"/>
      <c r="AO326" s="10"/>
      <c r="AP326" s="10"/>
      <c r="AQ326" s="35"/>
      <c r="AR326" s="59"/>
      <c r="AS326" s="59"/>
      <c r="AT326" s="59"/>
      <c r="AU326" s="59"/>
      <c r="AV326" s="62"/>
      <c r="AW326" s="10"/>
      <c r="AX326" s="326"/>
      <c r="AY326" s="5"/>
      <c r="AZ326" s="10"/>
      <c r="BA326" s="8"/>
      <c r="BB326" s="10"/>
      <c r="BC326" s="10"/>
      <c r="BD326" s="10"/>
      <c r="BE326" s="10"/>
      <c r="BF326" s="10"/>
      <c r="BG326" s="10"/>
      <c r="BH326" s="30"/>
      <c r="BI326" s="10"/>
      <c r="BJ326" s="338"/>
      <c r="BK326" s="338"/>
      <c r="BL326" s="303"/>
      <c r="BM326" s="5"/>
      <c r="BN326" s="10"/>
      <c r="BO326" s="8"/>
      <c r="BP326" s="5"/>
      <c r="BQ326" s="10"/>
      <c r="BR326" s="29">
        <v>1999</v>
      </c>
      <c r="BS326" s="64">
        <v>1998</v>
      </c>
      <c r="BT326" s="14">
        <v>16</v>
      </c>
      <c r="BU326" s="10"/>
      <c r="BV326" s="8"/>
      <c r="BW326" s="10"/>
      <c r="BX326" s="10"/>
      <c r="BY326" s="10"/>
      <c r="BZ326" s="10"/>
      <c r="CA326" s="10"/>
      <c r="CB326" s="10"/>
      <c r="CC326" s="221"/>
      <c r="CD326" s="10"/>
      <c r="CE326" s="317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317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38">
        <f t="shared" si="153"/>
        <v>0</v>
      </c>
      <c r="DW326" s="14" t="str">
        <f t="shared" si="154"/>
        <v>PROB</v>
      </c>
    </row>
    <row r="327" spans="1:127" customFormat="1">
      <c r="A327" s="210">
        <v>36039</v>
      </c>
      <c r="B327" s="211"/>
      <c r="C327" s="8">
        <v>3</v>
      </c>
      <c r="D327" s="10">
        <v>17</v>
      </c>
      <c r="E327" s="10">
        <v>0</v>
      </c>
      <c r="F327" s="10">
        <v>1</v>
      </c>
      <c r="G327" s="10">
        <v>1</v>
      </c>
      <c r="H327" s="10">
        <v>0</v>
      </c>
      <c r="I327" s="10">
        <v>0</v>
      </c>
      <c r="J327" s="10">
        <v>5</v>
      </c>
      <c r="K327" s="10">
        <v>0</v>
      </c>
      <c r="L327" s="10">
        <v>0</v>
      </c>
      <c r="M327" s="10"/>
      <c r="N327" s="10"/>
      <c r="O327" s="10">
        <v>2</v>
      </c>
      <c r="P327" s="10">
        <v>0</v>
      </c>
      <c r="Q327" s="10">
        <v>2</v>
      </c>
      <c r="R327" s="10">
        <v>0</v>
      </c>
      <c r="S327" s="35">
        <f t="shared" si="151"/>
        <v>31</v>
      </c>
      <c r="T327" s="10">
        <v>0</v>
      </c>
      <c r="U327" s="59">
        <v>8</v>
      </c>
      <c r="V327" s="59"/>
      <c r="W327" s="10">
        <v>0</v>
      </c>
      <c r="X327" s="5">
        <v>0</v>
      </c>
      <c r="Y327" s="10"/>
      <c r="Z327" s="8">
        <v>1484684</v>
      </c>
      <c r="AA327" s="10">
        <v>581923</v>
      </c>
      <c r="AB327" s="10"/>
      <c r="AC327" s="61">
        <v>480829</v>
      </c>
      <c r="AD327" s="59">
        <v>1022838</v>
      </c>
      <c r="AE327" s="35">
        <f t="shared" si="152"/>
        <v>1503667</v>
      </c>
      <c r="AF327" s="10"/>
      <c r="AG327" s="8">
        <v>63</v>
      </c>
      <c r="AH327" s="10">
        <v>76</v>
      </c>
      <c r="AI327" s="10">
        <v>146</v>
      </c>
      <c r="AJ327" s="5">
        <v>28</v>
      </c>
      <c r="AK327" s="10"/>
      <c r="AL327" s="8">
        <v>35</v>
      </c>
      <c r="AM327" s="10">
        <v>100</v>
      </c>
      <c r="AN327" s="35">
        <f>SUM(AL327:AM327)</f>
        <v>135</v>
      </c>
      <c r="AO327" s="10">
        <v>138</v>
      </c>
      <c r="AP327" s="10">
        <v>13</v>
      </c>
      <c r="AQ327" s="35">
        <f>SUM(AO327:AP327)</f>
        <v>151</v>
      </c>
      <c r="AR327" s="59"/>
      <c r="AS327" s="59"/>
      <c r="AT327" s="59"/>
      <c r="AU327" s="59"/>
      <c r="AV327" s="62"/>
      <c r="AW327" s="10"/>
      <c r="AX327" s="326"/>
      <c r="AY327" s="5"/>
      <c r="AZ327" s="10"/>
      <c r="BA327" s="8">
        <v>1612</v>
      </c>
      <c r="BB327" s="10">
        <v>28126106</v>
      </c>
      <c r="BC327" s="10">
        <v>19810304</v>
      </c>
      <c r="BD327" s="10"/>
      <c r="BE327" s="10">
        <v>39</v>
      </c>
      <c r="BF327" s="10">
        <v>11</v>
      </c>
      <c r="BG327" s="10">
        <v>6</v>
      </c>
      <c r="BH327" s="30"/>
      <c r="BI327" s="10">
        <v>1472066</v>
      </c>
      <c r="BJ327" s="338"/>
      <c r="BK327" s="338"/>
      <c r="BL327" s="303"/>
      <c r="BM327" s="5"/>
      <c r="BN327" s="10"/>
      <c r="BO327" s="8"/>
      <c r="BP327" s="5">
        <v>150</v>
      </c>
      <c r="BQ327" s="10"/>
      <c r="BR327" s="29">
        <v>1999</v>
      </c>
      <c r="BS327" s="64">
        <v>1998</v>
      </c>
      <c r="BT327" s="14">
        <v>17</v>
      </c>
      <c r="BU327" s="10"/>
      <c r="BV327" s="8"/>
      <c r="BW327" s="10"/>
      <c r="BX327" s="10"/>
      <c r="BY327" s="10"/>
      <c r="BZ327" s="10"/>
      <c r="CA327" s="10"/>
      <c r="CB327" s="10"/>
      <c r="CC327" s="221"/>
      <c r="CD327" s="10"/>
      <c r="CE327" s="317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317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38">
        <f t="shared" si="153"/>
        <v>0</v>
      </c>
      <c r="DW327" s="14" t="str">
        <f t="shared" si="154"/>
        <v>PROB</v>
      </c>
    </row>
    <row r="328" spans="1:127" customFormat="1">
      <c r="A328" s="210">
        <v>36053</v>
      </c>
      <c r="B328" s="211"/>
      <c r="C328" s="8">
        <v>0</v>
      </c>
      <c r="D328" s="10">
        <v>12</v>
      </c>
      <c r="E328" s="10">
        <v>1</v>
      </c>
      <c r="F328" s="10">
        <v>0</v>
      </c>
      <c r="G328" s="10">
        <v>2</v>
      </c>
      <c r="H328" s="10">
        <v>0</v>
      </c>
      <c r="I328" s="10">
        <v>0</v>
      </c>
      <c r="J328" s="10">
        <v>2</v>
      </c>
      <c r="K328" s="10">
        <v>0</v>
      </c>
      <c r="L328" s="10">
        <v>0</v>
      </c>
      <c r="M328" s="10"/>
      <c r="N328" s="10"/>
      <c r="O328" s="10">
        <v>14</v>
      </c>
      <c r="P328" s="10">
        <v>9</v>
      </c>
      <c r="Q328" s="10">
        <v>6</v>
      </c>
      <c r="R328" s="10">
        <v>0</v>
      </c>
      <c r="S328" s="35">
        <f t="shared" si="151"/>
        <v>46</v>
      </c>
      <c r="T328" s="10">
        <v>0</v>
      </c>
      <c r="U328" s="59">
        <v>16</v>
      </c>
      <c r="V328" s="59"/>
      <c r="W328" s="10">
        <v>0</v>
      </c>
      <c r="X328" s="5">
        <v>0</v>
      </c>
      <c r="Y328" s="10"/>
      <c r="Z328" s="8">
        <v>1393480</v>
      </c>
      <c r="AA328" s="10">
        <v>758876</v>
      </c>
      <c r="AB328" s="10"/>
      <c r="AC328" s="61">
        <v>714009</v>
      </c>
      <c r="AD328" s="59">
        <v>1354480</v>
      </c>
      <c r="AE328" s="35">
        <f t="shared" si="152"/>
        <v>2068489</v>
      </c>
      <c r="AF328" s="10"/>
      <c r="AG328" s="8">
        <v>47</v>
      </c>
      <c r="AH328" s="10">
        <v>78</v>
      </c>
      <c r="AI328" s="10">
        <v>134</v>
      </c>
      <c r="AJ328" s="5">
        <v>24</v>
      </c>
      <c r="AK328" s="10"/>
      <c r="AL328" s="8"/>
      <c r="AM328" s="10"/>
      <c r="AN328" s="35"/>
      <c r="AO328" s="10"/>
      <c r="AP328" s="10"/>
      <c r="AQ328" s="35"/>
      <c r="AR328" s="59"/>
      <c r="AS328" s="59"/>
      <c r="AT328" s="59"/>
      <c r="AU328" s="59"/>
      <c r="AV328" s="62"/>
      <c r="AW328" s="10"/>
      <c r="AX328" s="326"/>
      <c r="AY328" s="5"/>
      <c r="AZ328" s="10"/>
      <c r="BA328" s="8"/>
      <c r="BB328" s="10"/>
      <c r="BC328" s="10"/>
      <c r="BD328" s="10"/>
      <c r="BE328" s="10"/>
      <c r="BF328" s="10"/>
      <c r="BG328" s="10"/>
      <c r="BH328" s="30"/>
      <c r="BI328" s="10"/>
      <c r="BJ328" s="338"/>
      <c r="BK328" s="338"/>
      <c r="BL328" s="303"/>
      <c r="BM328" s="5"/>
      <c r="BN328" s="10"/>
      <c r="BO328" s="8"/>
      <c r="BP328" s="5"/>
      <c r="BQ328" s="10"/>
      <c r="BR328" s="29">
        <v>1999</v>
      </c>
      <c r="BS328" s="64">
        <v>1998</v>
      </c>
      <c r="BT328" s="14">
        <v>18</v>
      </c>
      <c r="BU328" s="10"/>
      <c r="BV328" s="8"/>
      <c r="BW328" s="10"/>
      <c r="BX328" s="10"/>
      <c r="BY328" s="10"/>
      <c r="BZ328" s="10"/>
      <c r="CA328" s="10"/>
      <c r="CB328" s="10"/>
      <c r="CC328" s="221"/>
      <c r="CD328" s="10"/>
      <c r="CE328" s="317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317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38">
        <f t="shared" si="153"/>
        <v>0</v>
      </c>
      <c r="DW328" s="14" t="str">
        <f t="shared" si="154"/>
        <v>PROB</v>
      </c>
    </row>
    <row r="329" spans="1:127" customFormat="1">
      <c r="A329" s="210">
        <v>36069</v>
      </c>
      <c r="B329" s="211"/>
      <c r="C329" s="8">
        <v>4</v>
      </c>
      <c r="D329" s="10">
        <v>30</v>
      </c>
      <c r="E329" s="10">
        <v>0</v>
      </c>
      <c r="F329" s="10">
        <v>0</v>
      </c>
      <c r="G329" s="10">
        <v>1</v>
      </c>
      <c r="H329" s="10">
        <v>6</v>
      </c>
      <c r="I329" s="10">
        <v>0</v>
      </c>
      <c r="J329" s="10">
        <v>7</v>
      </c>
      <c r="K329" s="10">
        <v>0</v>
      </c>
      <c r="L329" s="10">
        <v>0</v>
      </c>
      <c r="M329" s="10"/>
      <c r="N329" s="10"/>
      <c r="O329" s="10">
        <v>6</v>
      </c>
      <c r="P329" s="10">
        <v>3</v>
      </c>
      <c r="Q329" s="10">
        <v>0</v>
      </c>
      <c r="R329" s="10">
        <v>0</v>
      </c>
      <c r="S329" s="35">
        <f t="shared" si="151"/>
        <v>57</v>
      </c>
      <c r="T329" s="10">
        <v>3</v>
      </c>
      <c r="U329" s="59">
        <v>13</v>
      </c>
      <c r="V329" s="59"/>
      <c r="W329" s="10">
        <v>0</v>
      </c>
      <c r="X329" s="5">
        <v>0</v>
      </c>
      <c r="Y329" s="10"/>
      <c r="Z329" s="8">
        <v>1191210</v>
      </c>
      <c r="AA329" s="10">
        <v>1020952</v>
      </c>
      <c r="AB329" s="10"/>
      <c r="AC329" s="61">
        <v>889908</v>
      </c>
      <c r="AD329" s="59">
        <v>2015153</v>
      </c>
      <c r="AE329" s="35">
        <f t="shared" si="152"/>
        <v>2905061</v>
      </c>
      <c r="AF329" s="10"/>
      <c r="AG329" s="8">
        <v>106</v>
      </c>
      <c r="AH329" s="10">
        <v>31</v>
      </c>
      <c r="AI329" s="10">
        <v>148</v>
      </c>
      <c r="AJ329" s="5">
        <v>36</v>
      </c>
      <c r="AK329" s="10"/>
      <c r="AL329" s="8"/>
      <c r="AM329" s="10"/>
      <c r="AN329" s="35"/>
      <c r="AO329" s="10"/>
      <c r="AP329" s="10"/>
      <c r="AQ329" s="35"/>
      <c r="AR329" s="59"/>
      <c r="AS329" s="59"/>
      <c r="AT329" s="59"/>
      <c r="AU329" s="59"/>
      <c r="AV329" s="62"/>
      <c r="AW329" s="10"/>
      <c r="AX329" s="326"/>
      <c r="AY329" s="5"/>
      <c r="AZ329" s="10"/>
      <c r="BA329" s="8">
        <v>1648</v>
      </c>
      <c r="BB329" s="10">
        <v>27986398</v>
      </c>
      <c r="BC329" s="10">
        <v>19810304</v>
      </c>
      <c r="BD329" s="10"/>
      <c r="BE329" s="10">
        <v>49</v>
      </c>
      <c r="BF329" s="10">
        <v>33</v>
      </c>
      <c r="BG329" s="10">
        <v>4</v>
      </c>
      <c r="BH329" s="30"/>
      <c r="BI329" s="10">
        <v>1891645</v>
      </c>
      <c r="BJ329" s="338"/>
      <c r="BK329" s="338"/>
      <c r="BL329" s="303"/>
      <c r="BM329" s="5"/>
      <c r="BN329" s="10"/>
      <c r="BO329" s="8"/>
      <c r="BP329" s="5">
        <v>150</v>
      </c>
      <c r="BQ329" s="10"/>
      <c r="BR329" s="29">
        <v>1999</v>
      </c>
      <c r="BS329" s="64">
        <v>1998</v>
      </c>
      <c r="BT329" s="14">
        <v>19</v>
      </c>
      <c r="BU329" s="10"/>
      <c r="BV329" s="8"/>
      <c r="BW329" s="10"/>
      <c r="BX329" s="10"/>
      <c r="BY329" s="10"/>
      <c r="BZ329" s="10"/>
      <c r="CA329" s="10"/>
      <c r="CB329" s="10"/>
      <c r="CC329" s="221"/>
      <c r="CD329" s="10"/>
      <c r="CE329" s="317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317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38">
        <f t="shared" si="153"/>
        <v>0</v>
      </c>
      <c r="DW329" s="14" t="str">
        <f t="shared" si="154"/>
        <v>PROB</v>
      </c>
    </row>
    <row r="330" spans="1:127" customFormat="1">
      <c r="A330" s="210">
        <v>36083</v>
      </c>
      <c r="B330" s="211"/>
      <c r="C330" s="8">
        <v>2</v>
      </c>
      <c r="D330" s="10">
        <v>11</v>
      </c>
      <c r="E330" s="10">
        <v>0</v>
      </c>
      <c r="F330" s="10">
        <v>1</v>
      </c>
      <c r="G330" s="10">
        <v>1</v>
      </c>
      <c r="H330" s="10">
        <v>1</v>
      </c>
      <c r="I330" s="10">
        <v>0</v>
      </c>
      <c r="J330" s="10">
        <v>4</v>
      </c>
      <c r="K330" s="10">
        <v>0</v>
      </c>
      <c r="L330" s="10">
        <v>0</v>
      </c>
      <c r="M330" s="10"/>
      <c r="N330" s="10"/>
      <c r="O330" s="10">
        <v>17</v>
      </c>
      <c r="P330" s="10">
        <v>1</v>
      </c>
      <c r="Q330" s="10">
        <v>0</v>
      </c>
      <c r="R330" s="10">
        <v>0</v>
      </c>
      <c r="S330" s="35">
        <f t="shared" si="151"/>
        <v>38</v>
      </c>
      <c r="T330" s="10">
        <v>4</v>
      </c>
      <c r="U330" s="59">
        <v>12</v>
      </c>
      <c r="V330" s="59"/>
      <c r="W330" s="10">
        <v>0</v>
      </c>
      <c r="X330" s="5">
        <v>0</v>
      </c>
      <c r="Y330" s="10"/>
      <c r="Z330" s="8">
        <v>1541580</v>
      </c>
      <c r="AA330" s="10">
        <v>954077</v>
      </c>
      <c r="AB330" s="10"/>
      <c r="AC330" s="61">
        <v>889529</v>
      </c>
      <c r="AD330" s="59">
        <v>1075443</v>
      </c>
      <c r="AE330" s="35">
        <f t="shared" si="152"/>
        <v>1964972</v>
      </c>
      <c r="AF330" s="10"/>
      <c r="AG330" s="8">
        <v>39</v>
      </c>
      <c r="AH330" s="10">
        <v>94</v>
      </c>
      <c r="AI330" s="10">
        <v>142</v>
      </c>
      <c r="AJ330" s="5">
        <v>20</v>
      </c>
      <c r="AK330" s="10"/>
      <c r="AL330" s="8"/>
      <c r="AM330" s="10"/>
      <c r="AN330" s="35"/>
      <c r="AO330" s="10"/>
      <c r="AP330" s="10"/>
      <c r="AQ330" s="35"/>
      <c r="AR330" s="59"/>
      <c r="AS330" s="59"/>
      <c r="AT330" s="59"/>
      <c r="AU330" s="59"/>
      <c r="AV330" s="62"/>
      <c r="AW330" s="10"/>
      <c r="AX330" s="326"/>
      <c r="AY330" s="5"/>
      <c r="AZ330" s="10"/>
      <c r="BA330" s="8"/>
      <c r="BB330" s="10"/>
      <c r="BC330" s="10"/>
      <c r="BD330" s="10"/>
      <c r="BE330" s="10"/>
      <c r="BF330" s="10"/>
      <c r="BG330" s="10"/>
      <c r="BH330" s="30"/>
      <c r="BI330" s="10"/>
      <c r="BJ330" s="338"/>
      <c r="BK330" s="338"/>
      <c r="BL330" s="303"/>
      <c r="BM330" s="5"/>
      <c r="BN330" s="10"/>
      <c r="BO330" s="8"/>
      <c r="BP330" s="5"/>
      <c r="BQ330" s="10"/>
      <c r="BR330" s="29">
        <v>1999</v>
      </c>
      <c r="BS330" s="64">
        <v>1998</v>
      </c>
      <c r="BT330" s="14">
        <v>20</v>
      </c>
      <c r="BU330" s="10"/>
      <c r="BV330" s="8"/>
      <c r="BW330" s="10"/>
      <c r="BX330" s="10"/>
      <c r="BY330" s="10"/>
      <c r="BZ330" s="10"/>
      <c r="CA330" s="10"/>
      <c r="CB330" s="10"/>
      <c r="CC330" s="221"/>
      <c r="CD330" s="10"/>
      <c r="CE330" s="317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317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38">
        <f t="shared" si="153"/>
        <v>0</v>
      </c>
      <c r="DW330" s="14" t="str">
        <f t="shared" si="154"/>
        <v>PROB</v>
      </c>
    </row>
    <row r="331" spans="1:127" customFormat="1">
      <c r="A331" s="210">
        <v>36100</v>
      </c>
      <c r="B331" s="211"/>
      <c r="C331" s="8">
        <v>0</v>
      </c>
      <c r="D331" s="10">
        <v>23</v>
      </c>
      <c r="E331" s="10">
        <v>1</v>
      </c>
      <c r="F331" s="10">
        <v>0</v>
      </c>
      <c r="G331" s="10">
        <v>0</v>
      </c>
      <c r="H331" s="10">
        <v>1</v>
      </c>
      <c r="I331" s="10">
        <v>0</v>
      </c>
      <c r="J331" s="10">
        <v>12</v>
      </c>
      <c r="K331" s="10">
        <v>0</v>
      </c>
      <c r="L331" s="10">
        <v>1</v>
      </c>
      <c r="M331" s="10"/>
      <c r="N331" s="10"/>
      <c r="O331" s="10">
        <v>13</v>
      </c>
      <c r="P331" s="10">
        <v>0</v>
      </c>
      <c r="Q331" s="10">
        <v>0</v>
      </c>
      <c r="R331" s="10">
        <v>0</v>
      </c>
      <c r="S331" s="35">
        <f t="shared" si="151"/>
        <v>51</v>
      </c>
      <c r="T331" s="10">
        <v>1</v>
      </c>
      <c r="U331" s="59">
        <v>7</v>
      </c>
      <c r="V331" s="59"/>
      <c r="W331" s="10">
        <v>0</v>
      </c>
      <c r="X331" s="5">
        <v>0</v>
      </c>
      <c r="Y331" s="10"/>
      <c r="Z331" s="8">
        <v>1205464</v>
      </c>
      <c r="AA331" s="10">
        <v>1415677</v>
      </c>
      <c r="AB331" s="10"/>
      <c r="AC331" s="61">
        <v>1185592</v>
      </c>
      <c r="AD331" s="59">
        <v>1446756</v>
      </c>
      <c r="AE331" s="35">
        <f t="shared" si="152"/>
        <v>2632348</v>
      </c>
      <c r="AF331" s="10"/>
      <c r="AG331" s="8">
        <v>102</v>
      </c>
      <c r="AH331" s="10">
        <v>35</v>
      </c>
      <c r="AI331" s="10">
        <v>146</v>
      </c>
      <c r="AJ331" s="5">
        <v>28</v>
      </c>
      <c r="AK331" s="10"/>
      <c r="AL331" s="8"/>
      <c r="AM331" s="10"/>
      <c r="AN331" s="35"/>
      <c r="AO331" s="10">
        <v>93</v>
      </c>
      <c r="AP331" s="10">
        <v>13</v>
      </c>
      <c r="AQ331" s="35">
        <f>SUM(AO331:AP331)</f>
        <v>106</v>
      </c>
      <c r="AR331" s="59"/>
      <c r="AS331" s="59"/>
      <c r="AT331" s="59"/>
      <c r="AU331" s="59"/>
      <c r="AV331" s="62"/>
      <c r="AW331" s="10"/>
      <c r="AX331" s="326"/>
      <c r="AY331" s="5"/>
      <c r="AZ331" s="10"/>
      <c r="BA331" s="8">
        <v>1642</v>
      </c>
      <c r="BB331" s="10">
        <v>28132040</v>
      </c>
      <c r="BC331" s="10">
        <v>19755008</v>
      </c>
      <c r="BD331" s="10"/>
      <c r="BE331" s="10">
        <v>101</v>
      </c>
      <c r="BF331" s="10">
        <v>2</v>
      </c>
      <c r="BG331" s="10">
        <v>2</v>
      </c>
      <c r="BH331" s="30"/>
      <c r="BI331" s="10">
        <v>2984304</v>
      </c>
      <c r="BJ331" s="338"/>
      <c r="BK331" s="338"/>
      <c r="BL331" s="303"/>
      <c r="BM331" s="5"/>
      <c r="BN331" s="10"/>
      <c r="BO331" s="8"/>
      <c r="BP331" s="5">
        <v>150</v>
      </c>
      <c r="BQ331" s="10"/>
      <c r="BR331" s="29">
        <v>1999</v>
      </c>
      <c r="BS331" s="64">
        <v>1998</v>
      </c>
      <c r="BT331" s="14">
        <v>21</v>
      </c>
      <c r="BU331" s="10"/>
      <c r="BV331" s="8"/>
      <c r="BW331" s="10"/>
      <c r="BX331" s="10"/>
      <c r="BY331" s="10"/>
      <c r="BZ331" s="10"/>
      <c r="CA331" s="10"/>
      <c r="CB331" s="10"/>
      <c r="CC331" s="221"/>
      <c r="CD331" s="10"/>
      <c r="CE331" s="317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317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38">
        <f t="shared" si="153"/>
        <v>0</v>
      </c>
      <c r="DW331" s="14" t="str">
        <f t="shared" si="154"/>
        <v>PROB</v>
      </c>
    </row>
    <row r="332" spans="1:127" customFormat="1">
      <c r="A332" s="210">
        <v>36114</v>
      </c>
      <c r="B332" s="211"/>
      <c r="C332" s="8">
        <v>17</v>
      </c>
      <c r="D332" s="10">
        <v>24</v>
      </c>
      <c r="E332" s="10">
        <v>18</v>
      </c>
      <c r="F332" s="10">
        <v>2</v>
      </c>
      <c r="G332" s="10">
        <v>0</v>
      </c>
      <c r="H332" s="10">
        <v>0</v>
      </c>
      <c r="I332" s="10">
        <v>0</v>
      </c>
      <c r="J332" s="10">
        <v>6</v>
      </c>
      <c r="K332" s="10">
        <v>0</v>
      </c>
      <c r="L332" s="10">
        <v>5</v>
      </c>
      <c r="M332" s="10"/>
      <c r="N332" s="10"/>
      <c r="O332" s="10">
        <v>10</v>
      </c>
      <c r="P332" s="10">
        <v>4</v>
      </c>
      <c r="Q332" s="10">
        <v>2</v>
      </c>
      <c r="R332" s="10">
        <v>0</v>
      </c>
      <c r="S332" s="35">
        <f t="shared" si="151"/>
        <v>88</v>
      </c>
      <c r="T332" s="10">
        <v>3</v>
      </c>
      <c r="U332" s="59">
        <v>33</v>
      </c>
      <c r="V332" s="59"/>
      <c r="W332" s="10">
        <v>0</v>
      </c>
      <c r="X332" s="5">
        <v>0</v>
      </c>
      <c r="Y332" s="10"/>
      <c r="Z332" s="8">
        <v>1074149</v>
      </c>
      <c r="AA332" s="10">
        <v>1342211</v>
      </c>
      <c r="AB332" s="10"/>
      <c r="AC332" s="61">
        <v>1134304</v>
      </c>
      <c r="AD332" s="59">
        <v>2170797</v>
      </c>
      <c r="AE332" s="35">
        <f t="shared" si="152"/>
        <v>3305101</v>
      </c>
      <c r="AF332" s="10"/>
      <c r="AG332" s="8">
        <v>143</v>
      </c>
      <c r="AH332" s="10">
        <v>1</v>
      </c>
      <c r="AI332" s="10">
        <v>152</v>
      </c>
      <c r="AJ332" s="5">
        <v>40</v>
      </c>
      <c r="AK332" s="10"/>
      <c r="AL332" s="8"/>
      <c r="AM332" s="10"/>
      <c r="AN332" s="35"/>
      <c r="AO332" s="10"/>
      <c r="AP332" s="10"/>
      <c r="AQ332" s="35"/>
      <c r="AR332" s="59"/>
      <c r="AS332" s="59"/>
      <c r="AT332" s="59"/>
      <c r="AU332" s="59"/>
      <c r="AV332" s="62"/>
      <c r="AW332" s="10"/>
      <c r="AX332" s="326"/>
      <c r="AY332" s="5"/>
      <c r="AZ332" s="10"/>
      <c r="BA332" s="8"/>
      <c r="BB332" s="10"/>
      <c r="BC332" s="10"/>
      <c r="BD332" s="10"/>
      <c r="BE332" s="10"/>
      <c r="BF332" s="10"/>
      <c r="BG332" s="10"/>
      <c r="BH332" s="30"/>
      <c r="BI332" s="10"/>
      <c r="BJ332" s="338"/>
      <c r="BK332" s="338"/>
      <c r="BL332" s="303"/>
      <c r="BM332" s="5"/>
      <c r="BN332" s="10"/>
      <c r="BO332" s="8"/>
      <c r="BP332" s="5"/>
      <c r="BQ332" s="10"/>
      <c r="BR332" s="29">
        <v>1999</v>
      </c>
      <c r="BS332" s="64">
        <v>1998</v>
      </c>
      <c r="BT332" s="14">
        <v>22</v>
      </c>
      <c r="BU332" s="10"/>
      <c r="BV332" s="8"/>
      <c r="BW332" s="10"/>
      <c r="BX332" s="10"/>
      <c r="BY332" s="10"/>
      <c r="BZ332" s="10"/>
      <c r="CA332" s="10"/>
      <c r="CB332" s="10"/>
      <c r="CC332" s="221"/>
      <c r="CD332" s="10"/>
      <c r="CE332" s="317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317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38">
        <f t="shared" si="153"/>
        <v>0</v>
      </c>
      <c r="DW332" s="14" t="str">
        <f t="shared" si="154"/>
        <v>PROB</v>
      </c>
    </row>
    <row r="333" spans="1:127" customFormat="1">
      <c r="A333" s="210">
        <v>36130</v>
      </c>
      <c r="B333" s="211"/>
      <c r="C333" s="8">
        <v>7</v>
      </c>
      <c r="D333" s="10">
        <v>9</v>
      </c>
      <c r="E333" s="10">
        <v>0</v>
      </c>
      <c r="F333" s="10">
        <v>0</v>
      </c>
      <c r="G333" s="10">
        <v>2</v>
      </c>
      <c r="H333" s="10">
        <v>0</v>
      </c>
      <c r="I333" s="10">
        <v>0</v>
      </c>
      <c r="J333" s="10">
        <v>5</v>
      </c>
      <c r="K333" s="10">
        <v>5</v>
      </c>
      <c r="L333" s="10">
        <v>0</v>
      </c>
      <c r="M333" s="10"/>
      <c r="N333" s="10"/>
      <c r="O333" s="10">
        <v>7</v>
      </c>
      <c r="P333" s="10">
        <v>2</v>
      </c>
      <c r="Q333" s="10">
        <v>0</v>
      </c>
      <c r="R333" s="10">
        <v>0</v>
      </c>
      <c r="S333" s="35">
        <f t="shared" si="151"/>
        <v>37</v>
      </c>
      <c r="T333" s="10">
        <v>1</v>
      </c>
      <c r="U333" s="59">
        <v>6</v>
      </c>
      <c r="V333" s="59"/>
      <c r="W333" s="10">
        <v>0</v>
      </c>
      <c r="X333" s="5">
        <v>0</v>
      </c>
      <c r="Y333" s="10"/>
      <c r="Z333" s="8">
        <v>1855292</v>
      </c>
      <c r="AA333" s="10">
        <v>767888</v>
      </c>
      <c r="AB333" s="10"/>
      <c r="AC333" s="61">
        <v>660606</v>
      </c>
      <c r="AD333" s="59">
        <v>914171</v>
      </c>
      <c r="AE333" s="35">
        <f t="shared" si="152"/>
        <v>1574777</v>
      </c>
      <c r="AF333" s="10"/>
      <c r="AG333" s="8">
        <v>49</v>
      </c>
      <c r="AH333" s="10">
        <v>109</v>
      </c>
      <c r="AI333" s="10">
        <v>170</v>
      </c>
      <c r="AJ333" s="5">
        <v>24</v>
      </c>
      <c r="AK333" s="10"/>
      <c r="AL333" s="8"/>
      <c r="AM333" s="10"/>
      <c r="AN333" s="35"/>
      <c r="AO333" s="10"/>
      <c r="AP333" s="10"/>
      <c r="AQ333" s="35"/>
      <c r="AR333" s="59"/>
      <c r="AS333" s="59"/>
      <c r="AT333" s="59"/>
      <c r="AU333" s="59"/>
      <c r="AV333" s="62"/>
      <c r="AW333" s="10"/>
      <c r="AX333" s="326"/>
      <c r="AY333" s="5"/>
      <c r="AZ333" s="10"/>
      <c r="BA333" s="8">
        <v>1645</v>
      </c>
      <c r="BB333" s="10">
        <v>28201404</v>
      </c>
      <c r="BC333" s="10">
        <v>19802112</v>
      </c>
      <c r="BD333" s="10"/>
      <c r="BE333" s="10">
        <v>45</v>
      </c>
      <c r="BF333" s="10">
        <v>5</v>
      </c>
      <c r="BG333" s="10">
        <v>2</v>
      </c>
      <c r="BH333" s="30"/>
      <c r="BI333" s="10">
        <v>1291890</v>
      </c>
      <c r="BJ333" s="338"/>
      <c r="BK333" s="338"/>
      <c r="BL333" s="303"/>
      <c r="BM333" s="5"/>
      <c r="BN333" s="10"/>
      <c r="BO333" s="8"/>
      <c r="BP333" s="5">
        <v>150</v>
      </c>
      <c r="BQ333" s="10"/>
      <c r="BR333" s="29">
        <v>1999</v>
      </c>
      <c r="BS333" s="64">
        <v>1998</v>
      </c>
      <c r="BT333" s="14">
        <v>23</v>
      </c>
      <c r="BU333" s="10"/>
      <c r="BV333" s="8"/>
      <c r="BW333" s="10"/>
      <c r="BX333" s="10"/>
      <c r="BY333" s="10"/>
      <c r="BZ333" s="10"/>
      <c r="CA333" s="10"/>
      <c r="CB333" s="10"/>
      <c r="CC333" s="221"/>
      <c r="CD333" s="10"/>
      <c r="CE333" s="317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317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38">
        <f t="shared" si="153"/>
        <v>0</v>
      </c>
      <c r="DW333" s="14" t="str">
        <f t="shared" si="154"/>
        <v>PROB</v>
      </c>
    </row>
    <row r="334" spans="1:127" customFormat="1">
      <c r="A334" s="210">
        <v>36144</v>
      </c>
      <c r="B334" s="211"/>
      <c r="C334" s="8">
        <v>3</v>
      </c>
      <c r="D334" s="10">
        <v>25</v>
      </c>
      <c r="E334" s="10">
        <v>2</v>
      </c>
      <c r="F334" s="10">
        <v>1</v>
      </c>
      <c r="G334" s="10">
        <v>0</v>
      </c>
      <c r="H334" s="10">
        <v>0</v>
      </c>
      <c r="I334" s="10">
        <v>0</v>
      </c>
      <c r="J334" s="10">
        <v>4</v>
      </c>
      <c r="K334" s="10">
        <v>0</v>
      </c>
      <c r="L334" s="10">
        <v>0</v>
      </c>
      <c r="M334" s="10"/>
      <c r="N334" s="10"/>
      <c r="O334" s="10">
        <v>12</v>
      </c>
      <c r="P334" s="10">
        <v>0</v>
      </c>
      <c r="Q334" s="10">
        <v>0</v>
      </c>
      <c r="R334" s="10">
        <v>0</v>
      </c>
      <c r="S334" s="35">
        <f t="shared" si="151"/>
        <v>47</v>
      </c>
      <c r="T334" s="10">
        <v>1</v>
      </c>
      <c r="U334" s="59">
        <v>9</v>
      </c>
      <c r="V334" s="59"/>
      <c r="W334" s="10">
        <v>0</v>
      </c>
      <c r="X334" s="5">
        <v>0</v>
      </c>
      <c r="Y334" s="10"/>
      <c r="Z334" s="8">
        <v>942546</v>
      </c>
      <c r="AA334" s="10">
        <v>1060196</v>
      </c>
      <c r="AB334" s="10"/>
      <c r="AC334" s="61">
        <v>984832</v>
      </c>
      <c r="AD334" s="59">
        <v>1152049</v>
      </c>
      <c r="AE334" s="35">
        <f t="shared" si="152"/>
        <v>2136881</v>
      </c>
      <c r="AF334" s="10"/>
      <c r="AG334" s="8">
        <v>123</v>
      </c>
      <c r="AH334" s="10">
        <v>1</v>
      </c>
      <c r="AI334" s="10">
        <v>138</v>
      </c>
      <c r="AJ334" s="5">
        <v>32</v>
      </c>
      <c r="AK334" s="10"/>
      <c r="AL334" s="8"/>
      <c r="AM334" s="10"/>
      <c r="AN334" s="35"/>
      <c r="AO334" s="10"/>
      <c r="AP334" s="10"/>
      <c r="AQ334" s="35"/>
      <c r="AR334" s="59"/>
      <c r="AS334" s="59"/>
      <c r="AT334" s="59"/>
      <c r="AU334" s="59"/>
      <c r="AV334" s="62"/>
      <c r="AW334" s="10"/>
      <c r="AX334" s="326"/>
      <c r="AY334" s="5"/>
      <c r="AZ334" s="10"/>
      <c r="BA334" s="8"/>
      <c r="BB334" s="10"/>
      <c r="BC334" s="10"/>
      <c r="BD334" s="10"/>
      <c r="BE334" s="10"/>
      <c r="BF334" s="10"/>
      <c r="BG334" s="10"/>
      <c r="BH334" s="30"/>
      <c r="BI334" s="10"/>
      <c r="BJ334" s="338"/>
      <c r="BK334" s="338"/>
      <c r="BL334" s="303"/>
      <c r="BM334" s="5"/>
      <c r="BN334" s="10"/>
      <c r="BO334" s="8"/>
      <c r="BP334" s="5"/>
      <c r="BQ334" s="10"/>
      <c r="BR334" s="29">
        <v>1999</v>
      </c>
      <c r="BS334" s="64">
        <v>1998</v>
      </c>
      <c r="BT334" s="14">
        <v>24</v>
      </c>
      <c r="BU334" s="10"/>
      <c r="BV334" s="8"/>
      <c r="BW334" s="10"/>
      <c r="BX334" s="10"/>
      <c r="BY334" s="10"/>
      <c r="BZ334" s="10"/>
      <c r="CA334" s="10"/>
      <c r="CB334" s="10"/>
      <c r="CC334" s="221"/>
      <c r="CD334" s="10"/>
      <c r="CE334" s="317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317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38">
        <f t="shared" si="153"/>
        <v>0</v>
      </c>
      <c r="DW334" s="14" t="str">
        <f t="shared" si="154"/>
        <v>PROB</v>
      </c>
    </row>
    <row r="335" spans="1:127" customFormat="1">
      <c r="A335" s="210">
        <v>36161</v>
      </c>
      <c r="B335" s="211"/>
      <c r="C335" s="8">
        <v>3</v>
      </c>
      <c r="D335" s="10">
        <v>6</v>
      </c>
      <c r="E335" s="10">
        <v>0</v>
      </c>
      <c r="F335" s="10">
        <v>0</v>
      </c>
      <c r="G335" s="10">
        <v>3</v>
      </c>
      <c r="H335" s="10">
        <v>0</v>
      </c>
      <c r="I335" s="10">
        <v>0</v>
      </c>
      <c r="J335" s="10">
        <v>1</v>
      </c>
      <c r="K335" s="10">
        <v>0</v>
      </c>
      <c r="L335" s="10">
        <v>0</v>
      </c>
      <c r="M335" s="10"/>
      <c r="N335" s="10"/>
      <c r="O335" s="10">
        <v>3</v>
      </c>
      <c r="P335" s="10">
        <v>0</v>
      </c>
      <c r="Q335" s="10">
        <v>0</v>
      </c>
      <c r="R335" s="10">
        <v>0</v>
      </c>
      <c r="S335" s="35">
        <f t="shared" si="151"/>
        <v>16</v>
      </c>
      <c r="T335" s="10">
        <v>0</v>
      </c>
      <c r="U335" s="59">
        <v>3</v>
      </c>
      <c r="V335" s="59"/>
      <c r="W335" s="10">
        <v>0</v>
      </c>
      <c r="X335" s="5">
        <v>0</v>
      </c>
      <c r="Y335" s="10"/>
      <c r="Z335" s="8">
        <v>1832665</v>
      </c>
      <c r="AA335" s="10">
        <v>377396</v>
      </c>
      <c r="AB335" s="10"/>
      <c r="AC335" s="61">
        <v>381896</v>
      </c>
      <c r="AD335" s="59">
        <v>676099</v>
      </c>
      <c r="AE335" s="35">
        <f t="shared" si="152"/>
        <v>1057995</v>
      </c>
      <c r="AF335" s="10"/>
      <c r="AG335" s="8">
        <v>35</v>
      </c>
      <c r="AH335" s="10">
        <v>116</v>
      </c>
      <c r="AI335" s="10">
        <v>162</v>
      </c>
      <c r="AJ335" s="5">
        <v>20</v>
      </c>
      <c r="AK335" s="10"/>
      <c r="AL335" s="8">
        <v>36</v>
      </c>
      <c r="AM335" s="10">
        <v>108</v>
      </c>
      <c r="AN335" s="35">
        <f>SUM(AL335:AM335)</f>
        <v>144</v>
      </c>
      <c r="AO335" s="10">
        <v>93</v>
      </c>
      <c r="AP335" s="10">
        <v>13</v>
      </c>
      <c r="AQ335" s="35">
        <f>SUM(AO335:AP335)</f>
        <v>106</v>
      </c>
      <c r="AR335" s="59"/>
      <c r="AS335" s="59"/>
      <c r="AT335" s="59"/>
      <c r="AU335" s="59"/>
      <c r="AV335" s="62"/>
      <c r="AW335" s="10"/>
      <c r="AX335" s="326"/>
      <c r="AY335" s="5"/>
      <c r="AZ335" s="10"/>
      <c r="BA335" s="8">
        <v>1647</v>
      </c>
      <c r="BB335" s="10">
        <v>28163683</v>
      </c>
      <c r="BC335" s="10">
        <v>19763200</v>
      </c>
      <c r="BD335" s="10"/>
      <c r="BE335" s="10">
        <v>45</v>
      </c>
      <c r="BF335" s="10">
        <v>18</v>
      </c>
      <c r="BG335" s="10">
        <v>16</v>
      </c>
      <c r="BH335" s="30"/>
      <c r="BI335" s="10">
        <v>1972261</v>
      </c>
      <c r="BJ335" s="338"/>
      <c r="BK335" s="338"/>
      <c r="BL335" s="303"/>
      <c r="BM335" s="5"/>
      <c r="BN335" s="10"/>
      <c r="BO335" s="8"/>
      <c r="BP335" s="5">
        <v>150</v>
      </c>
      <c r="BQ335" s="10"/>
      <c r="BR335" s="29">
        <v>1999</v>
      </c>
      <c r="BS335" s="64">
        <v>1999</v>
      </c>
      <c r="BT335" s="14">
        <v>1</v>
      </c>
      <c r="BU335" s="10"/>
      <c r="BV335" s="8"/>
      <c r="BW335" s="10"/>
      <c r="BX335" s="10"/>
      <c r="BY335" s="10"/>
      <c r="BZ335" s="10"/>
      <c r="CA335" s="10"/>
      <c r="CB335" s="10"/>
      <c r="CC335" s="221"/>
      <c r="CD335" s="10"/>
      <c r="CE335" s="317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317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38">
        <f t="shared" si="153"/>
        <v>0</v>
      </c>
      <c r="DW335" s="14" t="str">
        <f t="shared" si="154"/>
        <v>PROB</v>
      </c>
    </row>
    <row r="336" spans="1:127" customFormat="1">
      <c r="A336" s="210">
        <v>36175</v>
      </c>
      <c r="B336" s="211"/>
      <c r="C336" s="8">
        <v>3</v>
      </c>
      <c r="D336" s="10">
        <v>17</v>
      </c>
      <c r="E336" s="10">
        <v>0</v>
      </c>
      <c r="F336" s="10">
        <v>1</v>
      </c>
      <c r="G336" s="10">
        <v>1</v>
      </c>
      <c r="H336" s="10">
        <v>1</v>
      </c>
      <c r="I336" s="10">
        <v>0</v>
      </c>
      <c r="J336" s="10">
        <v>3</v>
      </c>
      <c r="K336" s="10">
        <v>0</v>
      </c>
      <c r="L336" s="10">
        <v>0</v>
      </c>
      <c r="M336" s="10"/>
      <c r="N336" s="10"/>
      <c r="O336" s="10">
        <v>3</v>
      </c>
      <c r="P336" s="10">
        <v>0</v>
      </c>
      <c r="Q336" s="10">
        <v>0</v>
      </c>
      <c r="R336" s="10">
        <v>1</v>
      </c>
      <c r="S336" s="35">
        <f t="shared" si="151"/>
        <v>30</v>
      </c>
      <c r="T336" s="10">
        <v>0</v>
      </c>
      <c r="U336" s="59">
        <v>8</v>
      </c>
      <c r="V336" s="59"/>
      <c r="W336" s="10">
        <v>0</v>
      </c>
      <c r="X336" s="5">
        <v>1</v>
      </c>
      <c r="Y336" s="10"/>
      <c r="Z336" s="8">
        <v>1262699</v>
      </c>
      <c r="AA336" s="10">
        <v>760811</v>
      </c>
      <c r="AB336" s="10"/>
      <c r="AC336" s="61">
        <v>702209</v>
      </c>
      <c r="AD336" s="59">
        <v>1317385</v>
      </c>
      <c r="AE336" s="35">
        <f t="shared" si="152"/>
        <v>2019594</v>
      </c>
      <c r="AF336" s="10"/>
      <c r="AG336" s="8">
        <v>92</v>
      </c>
      <c r="AH336" s="10">
        <v>41</v>
      </c>
      <c r="AI336" s="10">
        <v>142</v>
      </c>
      <c r="AJ336" s="5">
        <v>28</v>
      </c>
      <c r="AK336" s="10"/>
      <c r="AL336" s="8"/>
      <c r="AM336" s="10"/>
      <c r="AN336" s="35"/>
      <c r="AO336" s="10"/>
      <c r="AP336" s="10"/>
      <c r="AQ336" s="35"/>
      <c r="AR336" s="59"/>
      <c r="AS336" s="59"/>
      <c r="AT336" s="59"/>
      <c r="AU336" s="59"/>
      <c r="AV336" s="62"/>
      <c r="AW336" s="10"/>
      <c r="AX336" s="326"/>
      <c r="AY336" s="5"/>
      <c r="AZ336" s="10"/>
      <c r="BA336" s="8"/>
      <c r="BB336" s="10"/>
      <c r="BC336" s="10"/>
      <c r="BD336" s="10"/>
      <c r="BE336" s="10"/>
      <c r="BF336" s="10"/>
      <c r="BG336" s="10"/>
      <c r="BH336" s="30"/>
      <c r="BI336" s="10"/>
      <c r="BJ336" s="338"/>
      <c r="BK336" s="338"/>
      <c r="BL336" s="303"/>
      <c r="BM336" s="5"/>
      <c r="BN336" s="10"/>
      <c r="BO336" s="8"/>
      <c r="BP336" s="5"/>
      <c r="BQ336" s="10"/>
      <c r="BR336" s="29">
        <v>1999</v>
      </c>
      <c r="BS336" s="64">
        <v>1999</v>
      </c>
      <c r="BT336" s="14">
        <v>2</v>
      </c>
      <c r="BU336" s="10"/>
      <c r="BV336" s="8"/>
      <c r="BW336" s="10"/>
      <c r="BX336" s="10"/>
      <c r="BY336" s="10"/>
      <c r="BZ336" s="10"/>
      <c r="CA336" s="10"/>
      <c r="CB336" s="10"/>
      <c r="CC336" s="221"/>
      <c r="CD336" s="10"/>
      <c r="CE336" s="317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317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38">
        <f t="shared" si="153"/>
        <v>0</v>
      </c>
      <c r="DW336" s="14" t="str">
        <f t="shared" si="154"/>
        <v>PROB</v>
      </c>
    </row>
    <row r="337" spans="1:127" customFormat="1">
      <c r="A337" s="210">
        <v>36192</v>
      </c>
      <c r="B337" s="211"/>
      <c r="C337" s="8">
        <v>2</v>
      </c>
      <c r="D337" s="10">
        <v>15</v>
      </c>
      <c r="E337" s="10">
        <v>0</v>
      </c>
      <c r="F337" s="10">
        <v>0</v>
      </c>
      <c r="G337" s="10">
        <v>5</v>
      </c>
      <c r="H337" s="10">
        <v>1</v>
      </c>
      <c r="I337" s="10">
        <v>0</v>
      </c>
      <c r="J337" s="10">
        <v>2</v>
      </c>
      <c r="K337" s="10">
        <v>0</v>
      </c>
      <c r="L337" s="10">
        <v>0</v>
      </c>
      <c r="M337" s="10"/>
      <c r="N337" s="10"/>
      <c r="O337" s="10">
        <v>4</v>
      </c>
      <c r="P337" s="10">
        <v>1</v>
      </c>
      <c r="Q337" s="10">
        <v>0</v>
      </c>
      <c r="R337" s="10">
        <v>0</v>
      </c>
      <c r="S337" s="35">
        <f t="shared" si="151"/>
        <v>30</v>
      </c>
      <c r="T337" s="10">
        <v>0</v>
      </c>
      <c r="U337" s="59">
        <v>13</v>
      </c>
      <c r="V337" s="59"/>
      <c r="W337" s="10">
        <v>0</v>
      </c>
      <c r="X337" s="5">
        <v>1</v>
      </c>
      <c r="Y337" s="10"/>
      <c r="Z337" s="8">
        <v>1740413</v>
      </c>
      <c r="AA337" s="10">
        <v>603630</v>
      </c>
      <c r="AB337" s="10"/>
      <c r="AC337" s="61">
        <v>564685</v>
      </c>
      <c r="AD337" s="59">
        <v>1115883</v>
      </c>
      <c r="AE337" s="35">
        <f t="shared" si="152"/>
        <v>1680568</v>
      </c>
      <c r="AF337" s="10"/>
      <c r="AG337" s="8">
        <v>66</v>
      </c>
      <c r="AH337" s="10">
        <v>88</v>
      </c>
      <c r="AI337" s="10">
        <v>168</v>
      </c>
      <c r="AJ337" s="5">
        <v>28</v>
      </c>
      <c r="AK337" s="10"/>
      <c r="AL337" s="8"/>
      <c r="AM337" s="10"/>
      <c r="AN337" s="35"/>
      <c r="AO337" s="10"/>
      <c r="AP337" s="10"/>
      <c r="AQ337" s="35"/>
      <c r="AR337" s="59"/>
      <c r="AS337" s="59"/>
      <c r="AT337" s="59"/>
      <c r="AU337" s="59"/>
      <c r="AV337" s="62"/>
      <c r="AW337" s="10"/>
      <c r="AX337" s="326"/>
      <c r="AY337" s="5"/>
      <c r="AZ337" s="10"/>
      <c r="BA337" s="8">
        <v>1652</v>
      </c>
      <c r="BB337" s="10">
        <v>28277757</v>
      </c>
      <c r="BC337" s="10">
        <v>19888128</v>
      </c>
      <c r="BD337" s="10"/>
      <c r="BE337" s="10">
        <v>58</v>
      </c>
      <c r="BF337" s="10">
        <v>7</v>
      </c>
      <c r="BG337" s="10">
        <v>1</v>
      </c>
      <c r="BH337" s="30"/>
      <c r="BI337" s="10">
        <v>2123932</v>
      </c>
      <c r="BJ337" s="338"/>
      <c r="BK337" s="338"/>
      <c r="BL337" s="303"/>
      <c r="BM337" s="5"/>
      <c r="BN337" s="10"/>
      <c r="BO337" s="8"/>
      <c r="BP337" s="5">
        <v>150</v>
      </c>
      <c r="BQ337" s="10"/>
      <c r="BR337" s="29">
        <v>1999</v>
      </c>
      <c r="BS337" s="64">
        <v>1999</v>
      </c>
      <c r="BT337" s="14">
        <v>3</v>
      </c>
      <c r="BU337" s="10"/>
      <c r="BV337" s="8"/>
      <c r="BW337" s="10"/>
      <c r="BX337" s="10"/>
      <c r="BY337" s="10"/>
      <c r="BZ337" s="10"/>
      <c r="CA337" s="10"/>
      <c r="CB337" s="10"/>
      <c r="CC337" s="221"/>
      <c r="CD337" s="10"/>
      <c r="CE337" s="317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317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38">
        <f t="shared" si="153"/>
        <v>0</v>
      </c>
      <c r="DW337" s="14" t="str">
        <f t="shared" si="154"/>
        <v>PROB</v>
      </c>
    </row>
    <row r="338" spans="1:127" customFormat="1">
      <c r="A338" s="210">
        <v>36206</v>
      </c>
      <c r="B338" s="211"/>
      <c r="C338" s="8">
        <v>3</v>
      </c>
      <c r="D338" s="10">
        <v>13</v>
      </c>
      <c r="E338" s="10">
        <v>3</v>
      </c>
      <c r="F338" s="10">
        <v>0</v>
      </c>
      <c r="G338" s="10">
        <v>1</v>
      </c>
      <c r="H338" s="10">
        <v>0</v>
      </c>
      <c r="I338" s="10">
        <v>0</v>
      </c>
      <c r="J338" s="10">
        <v>11</v>
      </c>
      <c r="K338" s="10">
        <v>1</v>
      </c>
      <c r="L338" s="10">
        <v>0</v>
      </c>
      <c r="M338" s="10"/>
      <c r="N338" s="10"/>
      <c r="O338" s="10">
        <v>4</v>
      </c>
      <c r="P338" s="10">
        <v>0</v>
      </c>
      <c r="Q338" s="10">
        <v>0</v>
      </c>
      <c r="R338" s="10">
        <v>0</v>
      </c>
      <c r="S338" s="35">
        <f t="shared" si="151"/>
        <v>36</v>
      </c>
      <c r="T338" s="10">
        <v>1</v>
      </c>
      <c r="U338" s="59">
        <v>7</v>
      </c>
      <c r="V338" s="59"/>
      <c r="W338" s="10">
        <v>0</v>
      </c>
      <c r="X338" s="5">
        <v>1</v>
      </c>
      <c r="Y338" s="10"/>
      <c r="Z338" s="8">
        <v>638318</v>
      </c>
      <c r="AA338" s="10">
        <v>660875</v>
      </c>
      <c r="AB338" s="10"/>
      <c r="AC338" s="61">
        <v>449877</v>
      </c>
      <c r="AD338" s="59">
        <v>944294</v>
      </c>
      <c r="AE338" s="35">
        <f t="shared" si="152"/>
        <v>1394171</v>
      </c>
      <c r="AF338" s="10"/>
      <c r="AG338" s="8">
        <v>65</v>
      </c>
      <c r="AH338" s="10">
        <v>11</v>
      </c>
      <c r="AI338" s="10">
        <v>90</v>
      </c>
      <c r="AJ338" s="5">
        <v>24</v>
      </c>
      <c r="AK338" s="10"/>
      <c r="AL338" s="8"/>
      <c r="AM338" s="10"/>
      <c r="AN338" s="35"/>
      <c r="AO338" s="10"/>
      <c r="AP338" s="10"/>
      <c r="AQ338" s="35"/>
      <c r="AR338" s="59"/>
      <c r="AS338" s="59"/>
      <c r="AT338" s="59"/>
      <c r="AU338" s="59"/>
      <c r="AV338" s="62"/>
      <c r="AW338" s="10"/>
      <c r="AX338" s="326"/>
      <c r="AY338" s="5"/>
      <c r="AZ338" s="10"/>
      <c r="BA338" s="8"/>
      <c r="BB338" s="10"/>
      <c r="BC338" s="10"/>
      <c r="BD338" s="10"/>
      <c r="BE338" s="10"/>
      <c r="BF338" s="10"/>
      <c r="BG338" s="10"/>
      <c r="BH338" s="30"/>
      <c r="BI338" s="10"/>
      <c r="BJ338" s="338"/>
      <c r="BK338" s="338"/>
      <c r="BL338" s="303"/>
      <c r="BM338" s="5"/>
      <c r="BN338" s="10"/>
      <c r="BO338" s="8"/>
      <c r="BP338" s="5"/>
      <c r="BQ338" s="10"/>
      <c r="BR338" s="29">
        <v>1999</v>
      </c>
      <c r="BS338" s="64">
        <v>1999</v>
      </c>
      <c r="BT338" s="14">
        <v>4</v>
      </c>
      <c r="BU338" s="10"/>
      <c r="BV338" s="8"/>
      <c r="BW338" s="10"/>
      <c r="BX338" s="10"/>
      <c r="BY338" s="10"/>
      <c r="BZ338" s="10"/>
      <c r="CA338" s="10"/>
      <c r="CB338" s="10"/>
      <c r="CC338" s="221"/>
      <c r="CD338" s="10"/>
      <c r="CE338" s="317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317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38">
        <f t="shared" si="153"/>
        <v>0</v>
      </c>
      <c r="DW338" s="14" t="str">
        <f t="shared" si="154"/>
        <v>PROB</v>
      </c>
    </row>
    <row r="339" spans="1:127" customFormat="1">
      <c r="A339" s="210">
        <v>36220</v>
      </c>
      <c r="B339" s="211"/>
      <c r="C339" s="8">
        <v>3</v>
      </c>
      <c r="D339" s="10">
        <v>17</v>
      </c>
      <c r="E339" s="10">
        <v>0</v>
      </c>
      <c r="F339" s="10">
        <v>0</v>
      </c>
      <c r="G339" s="10">
        <v>1</v>
      </c>
      <c r="H339" s="10">
        <v>0</v>
      </c>
      <c r="I339" s="10">
        <v>0</v>
      </c>
      <c r="J339" s="10">
        <v>3</v>
      </c>
      <c r="K339" s="10">
        <v>0</v>
      </c>
      <c r="L339" s="10">
        <v>0</v>
      </c>
      <c r="M339" s="10"/>
      <c r="N339" s="10"/>
      <c r="O339" s="10">
        <v>3</v>
      </c>
      <c r="P339" s="10">
        <v>25</v>
      </c>
      <c r="Q339" s="10">
        <v>0</v>
      </c>
      <c r="R339" s="10">
        <v>0</v>
      </c>
      <c r="S339" s="35">
        <f t="shared" si="151"/>
        <v>52</v>
      </c>
      <c r="T339" s="10">
        <v>0</v>
      </c>
      <c r="U339" s="59">
        <v>16</v>
      </c>
      <c r="V339" s="59"/>
      <c r="W339" s="10">
        <v>0</v>
      </c>
      <c r="X339" s="5">
        <v>1</v>
      </c>
      <c r="Y339" s="10"/>
      <c r="Z339" s="8">
        <v>565674</v>
      </c>
      <c r="AA339" s="10">
        <v>765987</v>
      </c>
      <c r="AB339" s="10"/>
      <c r="AC339" s="61">
        <v>676272</v>
      </c>
      <c r="AD339" s="59">
        <v>1247218</v>
      </c>
      <c r="AE339" s="35">
        <f t="shared" si="152"/>
        <v>1923490</v>
      </c>
      <c r="AF339" s="10"/>
      <c r="AG339" s="8">
        <v>52</v>
      </c>
      <c r="AH339" s="10">
        <v>13</v>
      </c>
      <c r="AI339" s="10">
        <v>80</v>
      </c>
      <c r="AJ339" s="5">
        <v>24</v>
      </c>
      <c r="AK339" s="10"/>
      <c r="AL339" s="8"/>
      <c r="AM339" s="10"/>
      <c r="AN339" s="35"/>
      <c r="AO339" s="10"/>
      <c r="AP339" s="10"/>
      <c r="AQ339" s="35"/>
      <c r="AR339" s="59"/>
      <c r="AS339" s="59"/>
      <c r="AT339" s="59"/>
      <c r="AU339" s="59"/>
      <c r="AV339" s="62"/>
      <c r="AW339" s="10"/>
      <c r="AX339" s="326"/>
      <c r="AY339" s="5"/>
      <c r="AZ339" s="10"/>
      <c r="BA339" s="8">
        <v>1652</v>
      </c>
      <c r="BB339" s="10">
        <v>28210165</v>
      </c>
      <c r="BC339" s="10">
        <v>19871744</v>
      </c>
      <c r="BD339" s="10"/>
      <c r="BE339" s="10">
        <v>36</v>
      </c>
      <c r="BF339" s="10">
        <v>0</v>
      </c>
      <c r="BG339" s="10">
        <v>0</v>
      </c>
      <c r="BH339" s="30"/>
      <c r="BI339" s="10">
        <v>1047758</v>
      </c>
      <c r="BJ339" s="338"/>
      <c r="BK339" s="338"/>
      <c r="BL339" s="303"/>
      <c r="BM339" s="5"/>
      <c r="BN339" s="10"/>
      <c r="BO339" s="8"/>
      <c r="BP339" s="5">
        <v>150</v>
      </c>
      <c r="BQ339" s="10"/>
      <c r="BR339" s="29">
        <v>1999</v>
      </c>
      <c r="BS339" s="64">
        <v>1999</v>
      </c>
      <c r="BT339" s="14">
        <v>5</v>
      </c>
      <c r="BU339" s="10"/>
      <c r="BV339" s="8"/>
      <c r="BW339" s="10"/>
      <c r="BX339" s="10"/>
      <c r="BY339" s="10"/>
      <c r="BZ339" s="10"/>
      <c r="CA339" s="10"/>
      <c r="CB339" s="10"/>
      <c r="CC339" s="221"/>
      <c r="CD339" s="10"/>
      <c r="CE339" s="317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317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38">
        <f t="shared" si="153"/>
        <v>0</v>
      </c>
      <c r="DW339" s="14" t="str">
        <f t="shared" si="154"/>
        <v>PROB</v>
      </c>
    </row>
    <row r="340" spans="1:127" customFormat="1">
      <c r="A340" s="210">
        <v>36234</v>
      </c>
      <c r="B340" s="211"/>
      <c r="C340" s="8">
        <v>1</v>
      </c>
      <c r="D340" s="10">
        <v>7</v>
      </c>
      <c r="E340" s="10">
        <v>1</v>
      </c>
      <c r="F340" s="10">
        <v>0</v>
      </c>
      <c r="G340" s="10">
        <v>0</v>
      </c>
      <c r="H340" s="10">
        <v>0</v>
      </c>
      <c r="I340" s="10">
        <v>0</v>
      </c>
      <c r="J340" s="10">
        <v>12</v>
      </c>
      <c r="K340" s="10">
        <v>0</v>
      </c>
      <c r="L340" s="10">
        <v>0</v>
      </c>
      <c r="M340" s="10"/>
      <c r="N340" s="10"/>
      <c r="O340" s="10">
        <v>4</v>
      </c>
      <c r="P340" s="10">
        <v>0</v>
      </c>
      <c r="Q340" s="10">
        <v>0</v>
      </c>
      <c r="R340" s="10">
        <v>0</v>
      </c>
      <c r="S340" s="35">
        <f t="shared" si="151"/>
        <v>25</v>
      </c>
      <c r="T340" s="10">
        <v>0</v>
      </c>
      <c r="U340" s="59">
        <v>5</v>
      </c>
      <c r="V340" s="59"/>
      <c r="W340" s="10">
        <v>0</v>
      </c>
      <c r="X340" s="5">
        <v>1</v>
      </c>
      <c r="Y340" s="10"/>
      <c r="Z340" s="8">
        <v>483677</v>
      </c>
      <c r="AA340" s="10">
        <v>395815</v>
      </c>
      <c r="AB340" s="10"/>
      <c r="AC340" s="61">
        <v>171617</v>
      </c>
      <c r="AD340" s="59">
        <v>744842</v>
      </c>
      <c r="AE340" s="35">
        <f t="shared" si="152"/>
        <v>916459</v>
      </c>
      <c r="AF340" s="10"/>
      <c r="AG340" s="8">
        <v>30</v>
      </c>
      <c r="AH340" s="10">
        <v>60</v>
      </c>
      <c r="AI340" s="10">
        <v>98</v>
      </c>
      <c r="AJ340" s="5">
        <v>16</v>
      </c>
      <c r="AK340" s="10"/>
      <c r="AL340" s="8"/>
      <c r="AM340" s="10"/>
      <c r="AN340" s="35"/>
      <c r="AO340" s="10"/>
      <c r="AP340" s="10"/>
      <c r="AQ340" s="35"/>
      <c r="AR340" s="59"/>
      <c r="AS340" s="59"/>
      <c r="AT340" s="59"/>
      <c r="AU340" s="59"/>
      <c r="AV340" s="62"/>
      <c r="AW340" s="10"/>
      <c r="AX340" s="326"/>
      <c r="AY340" s="5"/>
      <c r="AZ340" s="10"/>
      <c r="BA340" s="8"/>
      <c r="BB340" s="10"/>
      <c r="BC340" s="10"/>
      <c r="BD340" s="10"/>
      <c r="BE340" s="10"/>
      <c r="BF340" s="10"/>
      <c r="BG340" s="10"/>
      <c r="BH340" s="30"/>
      <c r="BI340" s="10"/>
      <c r="BJ340" s="338"/>
      <c r="BK340" s="338"/>
      <c r="BL340" s="303"/>
      <c r="BM340" s="5"/>
      <c r="BN340" s="10"/>
      <c r="BO340" s="8"/>
      <c r="BP340" s="5"/>
      <c r="BQ340" s="10"/>
      <c r="BR340" s="29">
        <v>1999</v>
      </c>
      <c r="BS340" s="64">
        <v>1999</v>
      </c>
      <c r="BT340" s="14">
        <v>6</v>
      </c>
      <c r="BU340" s="10"/>
      <c r="BV340" s="8"/>
      <c r="BW340" s="10"/>
      <c r="BX340" s="10"/>
      <c r="BY340" s="10"/>
      <c r="BZ340" s="10"/>
      <c r="CA340" s="10"/>
      <c r="CB340" s="10"/>
      <c r="CC340" s="221"/>
      <c r="CD340" s="10"/>
      <c r="CE340" s="317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317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38">
        <f t="shared" si="153"/>
        <v>0</v>
      </c>
      <c r="DW340" s="14" t="str">
        <f t="shared" si="154"/>
        <v>PROB</v>
      </c>
    </row>
    <row r="341" spans="1:127" customFormat="1">
      <c r="A341" s="210">
        <v>36251</v>
      </c>
      <c r="B341" s="211"/>
      <c r="C341" s="8">
        <v>2</v>
      </c>
      <c r="D341" s="10">
        <v>7</v>
      </c>
      <c r="E341" s="10">
        <v>0</v>
      </c>
      <c r="F341" s="10">
        <v>0</v>
      </c>
      <c r="G341" s="10">
        <v>4</v>
      </c>
      <c r="H341" s="10">
        <v>0</v>
      </c>
      <c r="I341" s="10">
        <v>1</v>
      </c>
      <c r="J341" s="10">
        <v>5</v>
      </c>
      <c r="K341" s="10">
        <v>0</v>
      </c>
      <c r="L341" s="10">
        <v>0</v>
      </c>
      <c r="M341" s="10"/>
      <c r="N341" s="10"/>
      <c r="O341" s="10">
        <v>2</v>
      </c>
      <c r="P341" s="10">
        <v>0</v>
      </c>
      <c r="Q341" s="10">
        <v>0</v>
      </c>
      <c r="R341" s="10">
        <v>0</v>
      </c>
      <c r="S341" s="35">
        <f t="shared" si="151"/>
        <v>21</v>
      </c>
      <c r="T341" s="10">
        <v>0</v>
      </c>
      <c r="U341" s="59">
        <v>5</v>
      </c>
      <c r="V341" s="59"/>
      <c r="W341" s="10">
        <v>0</v>
      </c>
      <c r="X341" s="5">
        <v>0</v>
      </c>
      <c r="Y341" s="10"/>
      <c r="Z341" s="8">
        <v>969354</v>
      </c>
      <c r="AA341" s="10">
        <v>459870</v>
      </c>
      <c r="AB341" s="10"/>
      <c r="AC341" s="61">
        <v>364713</v>
      </c>
      <c r="AD341" s="59">
        <v>808656</v>
      </c>
      <c r="AE341" s="35">
        <f t="shared" si="152"/>
        <v>1173369</v>
      </c>
      <c r="AF341" s="10"/>
      <c r="AG341" s="8">
        <v>52</v>
      </c>
      <c r="AH341" s="10">
        <v>22</v>
      </c>
      <c r="AI341" s="10">
        <v>100</v>
      </c>
      <c r="AJ341" s="5">
        <v>20</v>
      </c>
      <c r="AK341" s="10"/>
      <c r="AL341" s="8">
        <v>37</v>
      </c>
      <c r="AM341" s="59">
        <v>110</v>
      </c>
      <c r="AN341" s="35">
        <f>SUM(AL341:AM341)</f>
        <v>147</v>
      </c>
      <c r="AO341" s="59">
        <v>89</v>
      </c>
      <c r="AP341" s="59">
        <v>13</v>
      </c>
      <c r="AQ341" s="35">
        <f>SUM(AO341:AP341)</f>
        <v>102</v>
      </c>
      <c r="AR341" s="59"/>
      <c r="AS341" s="59"/>
      <c r="AT341" s="59"/>
      <c r="AU341" s="59"/>
      <c r="AV341" s="62"/>
      <c r="AW341" s="10"/>
      <c r="AX341" s="326"/>
      <c r="AY341" s="5"/>
      <c r="AZ341" s="10"/>
      <c r="BA341" s="8">
        <v>1659</v>
      </c>
      <c r="BB341" s="10">
        <v>28121668</v>
      </c>
      <c r="BC341" s="10">
        <v>19886080</v>
      </c>
      <c r="BD341" s="10"/>
      <c r="BE341" s="10">
        <v>41</v>
      </c>
      <c r="BF341" s="10">
        <v>11</v>
      </c>
      <c r="BG341" s="10">
        <v>4</v>
      </c>
      <c r="BH341" s="30"/>
      <c r="BI341" s="10">
        <v>1275571</v>
      </c>
      <c r="BJ341" s="338"/>
      <c r="BK341" s="338"/>
      <c r="BL341" s="303"/>
      <c r="BM341" s="5"/>
      <c r="BN341" s="10"/>
      <c r="BO341" s="8"/>
      <c r="BP341" s="5">
        <v>152</v>
      </c>
      <c r="BQ341" s="10"/>
      <c r="BR341" s="29">
        <v>1999</v>
      </c>
      <c r="BS341" s="64">
        <v>1999</v>
      </c>
      <c r="BT341" s="14">
        <v>7</v>
      </c>
      <c r="BU341" s="10"/>
      <c r="BV341" s="8"/>
      <c r="BW341" s="10"/>
      <c r="BX341" s="10"/>
      <c r="BY341" s="10"/>
      <c r="BZ341" s="10"/>
      <c r="CA341" s="10"/>
      <c r="CB341" s="10"/>
      <c r="CC341" s="221"/>
      <c r="CD341" s="10"/>
      <c r="CE341" s="317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317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38">
        <f t="shared" si="153"/>
        <v>0</v>
      </c>
      <c r="DW341" s="14" t="str">
        <f t="shared" si="154"/>
        <v>PROB</v>
      </c>
    </row>
    <row r="342" spans="1:127" customFormat="1">
      <c r="A342" s="210">
        <v>36265</v>
      </c>
      <c r="B342" s="211"/>
      <c r="C342" s="8">
        <v>0</v>
      </c>
      <c r="D342" s="10">
        <v>11</v>
      </c>
      <c r="E342" s="10">
        <v>0</v>
      </c>
      <c r="F342" s="10">
        <v>2</v>
      </c>
      <c r="G342" s="10">
        <v>2</v>
      </c>
      <c r="H342" s="10">
        <v>0</v>
      </c>
      <c r="I342" s="10">
        <v>0</v>
      </c>
      <c r="J342" s="10">
        <v>2</v>
      </c>
      <c r="K342" s="10">
        <v>0</v>
      </c>
      <c r="L342" s="10">
        <v>0</v>
      </c>
      <c r="M342" s="10"/>
      <c r="N342" s="10"/>
      <c r="O342" s="10">
        <v>5</v>
      </c>
      <c r="P342" s="10">
        <v>1</v>
      </c>
      <c r="Q342" s="10">
        <v>0</v>
      </c>
      <c r="R342" s="10">
        <v>0</v>
      </c>
      <c r="S342" s="35">
        <f t="shared" si="151"/>
        <v>23</v>
      </c>
      <c r="T342" s="10">
        <v>0</v>
      </c>
      <c r="U342" s="59">
        <v>8</v>
      </c>
      <c r="V342" s="59"/>
      <c r="W342" s="10">
        <v>0</v>
      </c>
      <c r="X342" s="5">
        <v>0</v>
      </c>
      <c r="Y342" s="10"/>
      <c r="Z342" s="8">
        <v>795171</v>
      </c>
      <c r="AA342" s="10">
        <v>382897</v>
      </c>
      <c r="AB342" s="10"/>
      <c r="AC342" s="61">
        <v>355485</v>
      </c>
      <c r="AD342" s="59">
        <v>766740</v>
      </c>
      <c r="AE342" s="35">
        <f t="shared" si="152"/>
        <v>1122225</v>
      </c>
      <c r="AF342" s="10"/>
      <c r="AG342" s="8">
        <v>56</v>
      </c>
      <c r="AH342" s="10">
        <v>25</v>
      </c>
      <c r="AI342" s="10">
        <v>106</v>
      </c>
      <c r="AJ342" s="5">
        <v>20</v>
      </c>
      <c r="AK342" s="10"/>
      <c r="AL342" s="8"/>
      <c r="AM342" s="10"/>
      <c r="AN342" s="35"/>
      <c r="AO342" s="10"/>
      <c r="AP342" s="10"/>
      <c r="AQ342" s="35"/>
      <c r="AR342" s="59"/>
      <c r="AS342" s="59"/>
      <c r="AT342" s="59"/>
      <c r="AU342" s="59"/>
      <c r="AV342" s="62"/>
      <c r="AW342" s="10"/>
      <c r="AX342" s="326"/>
      <c r="AY342" s="5"/>
      <c r="AZ342" s="10"/>
      <c r="BA342" s="8"/>
      <c r="BB342" s="10"/>
      <c r="BC342" s="10"/>
      <c r="BD342" s="10"/>
      <c r="BE342" s="10"/>
      <c r="BF342" s="10"/>
      <c r="BG342" s="10"/>
      <c r="BH342" s="30"/>
      <c r="BI342" s="10"/>
      <c r="BJ342" s="338"/>
      <c r="BK342" s="338"/>
      <c r="BL342" s="303"/>
      <c r="BM342" s="5"/>
      <c r="BN342" s="10"/>
      <c r="BO342" s="8"/>
      <c r="BP342" s="5"/>
      <c r="BQ342" s="10"/>
      <c r="BR342" s="29">
        <v>1999</v>
      </c>
      <c r="BS342" s="64">
        <v>1999</v>
      </c>
      <c r="BT342" s="14">
        <v>8</v>
      </c>
      <c r="BU342" s="10"/>
      <c r="BV342" s="8"/>
      <c r="BW342" s="10"/>
      <c r="BX342" s="10"/>
      <c r="BY342" s="10"/>
      <c r="BZ342" s="10"/>
      <c r="CA342" s="10"/>
      <c r="CB342" s="10"/>
      <c r="CC342" s="221"/>
      <c r="CD342" s="10"/>
      <c r="CE342" s="317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317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38">
        <f t="shared" si="153"/>
        <v>0</v>
      </c>
      <c r="DW342" s="14" t="str">
        <f t="shared" si="154"/>
        <v>PROB</v>
      </c>
    </row>
    <row r="343" spans="1:127" customFormat="1">
      <c r="A343" s="210">
        <v>36281</v>
      </c>
      <c r="B343" s="211"/>
      <c r="C343" s="8">
        <v>4</v>
      </c>
      <c r="D343" s="10">
        <v>21</v>
      </c>
      <c r="E343" s="10">
        <v>1</v>
      </c>
      <c r="F343" s="10">
        <v>0</v>
      </c>
      <c r="G343" s="10">
        <v>2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/>
      <c r="N343" s="10"/>
      <c r="O343" s="10">
        <v>3</v>
      </c>
      <c r="P343" s="10">
        <v>1</v>
      </c>
      <c r="Q343" s="10">
        <v>0</v>
      </c>
      <c r="R343" s="10">
        <v>0</v>
      </c>
      <c r="S343" s="35">
        <f t="shared" si="151"/>
        <v>32</v>
      </c>
      <c r="T343" s="10">
        <v>1</v>
      </c>
      <c r="U343" s="59">
        <v>17</v>
      </c>
      <c r="V343" s="59"/>
      <c r="W343" s="59">
        <v>0</v>
      </c>
      <c r="X343" s="5">
        <v>1</v>
      </c>
      <c r="Y343" s="10"/>
      <c r="Z343" s="8">
        <v>1037873</v>
      </c>
      <c r="AA343" s="10">
        <v>611622</v>
      </c>
      <c r="AB343" s="10"/>
      <c r="AC343" s="61">
        <v>619865</v>
      </c>
      <c r="AD343" s="59">
        <v>907035</v>
      </c>
      <c r="AE343" s="35">
        <f t="shared" si="152"/>
        <v>1526900</v>
      </c>
      <c r="AF343" s="10"/>
      <c r="AG343" s="8">
        <v>97</v>
      </c>
      <c r="AH343" s="10">
        <v>26</v>
      </c>
      <c r="AI343" s="10">
        <v>132</v>
      </c>
      <c r="AJ343" s="5">
        <v>24</v>
      </c>
      <c r="AK343" s="10"/>
      <c r="AL343" s="8"/>
      <c r="AM343" s="10"/>
      <c r="AN343" s="35"/>
      <c r="AO343" s="10"/>
      <c r="AP343" s="10"/>
      <c r="AQ343" s="35"/>
      <c r="AR343" s="59"/>
      <c r="AS343" s="59"/>
      <c r="AT343" s="59"/>
      <c r="AU343" s="59"/>
      <c r="AV343" s="62"/>
      <c r="AW343" s="10"/>
      <c r="AX343" s="326"/>
      <c r="AY343" s="5"/>
      <c r="AZ343" s="10"/>
      <c r="BA343" s="8">
        <v>1659</v>
      </c>
      <c r="BB343" s="10">
        <v>28036979</v>
      </c>
      <c r="BC343" s="10">
        <v>19838976</v>
      </c>
      <c r="BD343" s="10"/>
      <c r="BE343" s="10">
        <v>29</v>
      </c>
      <c r="BF343" s="10">
        <v>2</v>
      </c>
      <c r="BG343" s="10">
        <v>2</v>
      </c>
      <c r="BH343" s="30"/>
      <c r="BI343" s="10">
        <v>707258</v>
      </c>
      <c r="BJ343" s="338"/>
      <c r="BK343" s="338"/>
      <c r="BL343" s="303"/>
      <c r="BM343" s="5"/>
      <c r="BN343" s="10"/>
      <c r="BO343" s="8"/>
      <c r="BP343" s="5">
        <v>152</v>
      </c>
      <c r="BQ343" s="10"/>
      <c r="BR343" s="29">
        <v>1999</v>
      </c>
      <c r="BS343" s="64">
        <v>1999</v>
      </c>
      <c r="BT343" s="14">
        <v>9</v>
      </c>
      <c r="BU343" s="10"/>
      <c r="BV343" s="8"/>
      <c r="BW343" s="10"/>
      <c r="BX343" s="10"/>
      <c r="BY343" s="10"/>
      <c r="BZ343" s="10"/>
      <c r="CA343" s="10"/>
      <c r="CB343" s="10"/>
      <c r="CC343" s="221"/>
      <c r="CD343" s="10"/>
      <c r="CE343" s="317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317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38">
        <f t="shared" si="153"/>
        <v>0</v>
      </c>
      <c r="DW343" s="14" t="str">
        <f t="shared" si="154"/>
        <v>PROB</v>
      </c>
    </row>
    <row r="344" spans="1:127" customFormat="1">
      <c r="A344" s="210">
        <v>36295</v>
      </c>
      <c r="B344" s="211"/>
      <c r="C344" s="8">
        <v>1</v>
      </c>
      <c r="D344" s="10">
        <v>21</v>
      </c>
      <c r="E344" s="10">
        <v>1</v>
      </c>
      <c r="F344" s="10">
        <v>0</v>
      </c>
      <c r="G344" s="10">
        <v>0</v>
      </c>
      <c r="H344" s="10">
        <v>9</v>
      </c>
      <c r="I344" s="10">
        <v>0</v>
      </c>
      <c r="J344" s="10">
        <v>4</v>
      </c>
      <c r="K344" s="10">
        <v>0</v>
      </c>
      <c r="L344" s="10">
        <v>0</v>
      </c>
      <c r="M344" s="10"/>
      <c r="N344" s="10"/>
      <c r="O344" s="10">
        <v>4</v>
      </c>
      <c r="P344" s="10">
        <v>12</v>
      </c>
      <c r="Q344" s="10">
        <v>0</v>
      </c>
      <c r="R344" s="10">
        <v>0</v>
      </c>
      <c r="S344" s="35">
        <f t="shared" si="151"/>
        <v>52</v>
      </c>
      <c r="T344" s="10">
        <v>0</v>
      </c>
      <c r="U344" s="59">
        <v>21</v>
      </c>
      <c r="V344" s="59"/>
      <c r="W344" s="10">
        <v>0</v>
      </c>
      <c r="X344" s="5">
        <v>0</v>
      </c>
      <c r="Y344" s="10"/>
      <c r="Z344" s="8">
        <v>1186554</v>
      </c>
      <c r="AA344" s="10">
        <v>1027736</v>
      </c>
      <c r="AB344" s="10"/>
      <c r="AC344" s="61">
        <v>991955</v>
      </c>
      <c r="AD344" s="59">
        <v>1229639</v>
      </c>
      <c r="AE344" s="35">
        <f t="shared" si="152"/>
        <v>2221594</v>
      </c>
      <c r="AF344" s="10"/>
      <c r="AG344" s="8">
        <v>108</v>
      </c>
      <c r="AH344" s="10">
        <v>29</v>
      </c>
      <c r="AI344" s="10">
        <v>148</v>
      </c>
      <c r="AJ344" s="5">
        <v>32</v>
      </c>
      <c r="AK344" s="10"/>
      <c r="AL344" s="8"/>
      <c r="AM344" s="10"/>
      <c r="AN344" s="35"/>
      <c r="AO344" s="10"/>
      <c r="AP344" s="10"/>
      <c r="AQ344" s="35"/>
      <c r="AR344" s="59"/>
      <c r="AS344" s="59"/>
      <c r="AT344" s="59"/>
      <c r="AU344" s="59"/>
      <c r="AV344" s="62"/>
      <c r="AW344" s="10"/>
      <c r="AX344" s="326"/>
      <c r="AY344" s="5"/>
      <c r="AZ344" s="10"/>
      <c r="BA344" s="8"/>
      <c r="BB344" s="10"/>
      <c r="BC344" s="10"/>
      <c r="BD344" s="10"/>
      <c r="BE344" s="10"/>
      <c r="BF344" s="10"/>
      <c r="BG344" s="10"/>
      <c r="BH344" s="30"/>
      <c r="BI344" s="10"/>
      <c r="BJ344" s="338"/>
      <c r="BK344" s="338"/>
      <c r="BL344" s="303"/>
      <c r="BM344" s="5"/>
      <c r="BN344" s="10"/>
      <c r="BO344" s="8"/>
      <c r="BP344" s="5"/>
      <c r="BQ344" s="10"/>
      <c r="BR344" s="29">
        <v>1999</v>
      </c>
      <c r="BS344" s="64">
        <v>1999</v>
      </c>
      <c r="BT344" s="14">
        <v>10</v>
      </c>
      <c r="BU344" s="10"/>
      <c r="BV344" s="8"/>
      <c r="BW344" s="10"/>
      <c r="BX344" s="10"/>
      <c r="BY344" s="10"/>
      <c r="BZ344" s="10"/>
      <c r="CA344" s="10"/>
      <c r="CB344" s="10"/>
      <c r="CC344" s="221"/>
      <c r="CD344" s="10"/>
      <c r="CE344" s="317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317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38">
        <f t="shared" si="153"/>
        <v>0</v>
      </c>
      <c r="DW344" s="14" t="str">
        <f t="shared" si="154"/>
        <v>PROB</v>
      </c>
    </row>
    <row r="345" spans="1:127" customFormat="1">
      <c r="A345" s="210">
        <v>36312</v>
      </c>
      <c r="B345" s="211"/>
      <c r="C345" s="8">
        <v>4</v>
      </c>
      <c r="D345" s="10">
        <v>21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2</v>
      </c>
      <c r="K345" s="10">
        <v>0</v>
      </c>
      <c r="L345" s="10">
        <v>0</v>
      </c>
      <c r="M345" s="10"/>
      <c r="N345" s="10"/>
      <c r="O345" s="10">
        <v>3</v>
      </c>
      <c r="P345" s="10">
        <v>2</v>
      </c>
      <c r="Q345" s="10">
        <v>0</v>
      </c>
      <c r="R345" s="10">
        <v>0</v>
      </c>
      <c r="S345" s="35">
        <f t="shared" si="151"/>
        <v>32</v>
      </c>
      <c r="T345" s="10">
        <v>0</v>
      </c>
      <c r="U345" s="59">
        <v>18</v>
      </c>
      <c r="V345" s="59"/>
      <c r="W345" s="10">
        <v>0</v>
      </c>
      <c r="X345" s="5">
        <v>1</v>
      </c>
      <c r="Y345" s="10"/>
      <c r="Z345" s="8">
        <v>932224</v>
      </c>
      <c r="AA345" s="10">
        <v>506290</v>
      </c>
      <c r="AB345" s="10"/>
      <c r="AC345" s="61">
        <v>485495</v>
      </c>
      <c r="AD345" s="59">
        <v>867499</v>
      </c>
      <c r="AE345" s="35">
        <f t="shared" si="152"/>
        <v>1352994</v>
      </c>
      <c r="AF345" s="10"/>
      <c r="AG345" s="8">
        <v>63</v>
      </c>
      <c r="AH345" s="10">
        <v>32</v>
      </c>
      <c r="AI345" s="10">
        <v>116</v>
      </c>
      <c r="AJ345" s="5">
        <v>24</v>
      </c>
      <c r="AK345" s="10"/>
      <c r="AL345" s="8"/>
      <c r="AM345" s="10"/>
      <c r="AN345" s="35"/>
      <c r="AO345" s="10"/>
      <c r="AP345" s="10"/>
      <c r="AQ345" s="35"/>
      <c r="AR345" s="59"/>
      <c r="AS345" s="59"/>
      <c r="AT345" s="59"/>
      <c r="AU345" s="59"/>
      <c r="AV345" s="62"/>
      <c r="AW345" s="10"/>
      <c r="AX345" s="326"/>
      <c r="AY345" s="5"/>
      <c r="AZ345" s="10"/>
      <c r="BA345" s="8">
        <v>1663</v>
      </c>
      <c r="BB345" s="10">
        <v>27977731</v>
      </c>
      <c r="BC345" s="10">
        <v>19904512</v>
      </c>
      <c r="BD345" s="10"/>
      <c r="BE345" s="10">
        <v>30</v>
      </c>
      <c r="BF345" s="10">
        <v>5</v>
      </c>
      <c r="BG345" s="10">
        <v>1</v>
      </c>
      <c r="BH345" s="30"/>
      <c r="BI345" s="10">
        <v>1045875</v>
      </c>
      <c r="BJ345" s="338"/>
      <c r="BK345" s="338"/>
      <c r="BL345" s="303"/>
      <c r="BM345" s="5"/>
      <c r="BN345" s="10"/>
      <c r="BO345" s="8"/>
      <c r="BP345" s="5">
        <v>152</v>
      </c>
      <c r="BQ345" s="10"/>
      <c r="BR345" s="29">
        <v>1999</v>
      </c>
      <c r="BS345" s="64">
        <v>1999</v>
      </c>
      <c r="BT345" s="14">
        <v>11</v>
      </c>
      <c r="BU345" s="10"/>
      <c r="BV345" s="8"/>
      <c r="BW345" s="10"/>
      <c r="BX345" s="10"/>
      <c r="BY345" s="10"/>
      <c r="BZ345" s="10"/>
      <c r="CA345" s="10"/>
      <c r="CB345" s="10"/>
      <c r="CC345" s="221"/>
      <c r="CD345" s="10"/>
      <c r="CE345" s="317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317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38">
        <f t="shared" si="153"/>
        <v>0</v>
      </c>
      <c r="DW345" s="14" t="str">
        <f t="shared" si="154"/>
        <v>PROB</v>
      </c>
    </row>
    <row r="346" spans="1:127" customFormat="1">
      <c r="A346" s="210">
        <v>36326</v>
      </c>
      <c r="B346" s="211"/>
      <c r="C346" s="8">
        <v>7</v>
      </c>
      <c r="D346" s="10">
        <v>28</v>
      </c>
      <c r="E346" s="10">
        <v>1</v>
      </c>
      <c r="F346" s="10">
        <v>0</v>
      </c>
      <c r="G346" s="10">
        <v>2</v>
      </c>
      <c r="H346" s="10">
        <v>0</v>
      </c>
      <c r="I346" s="10">
        <v>0</v>
      </c>
      <c r="J346" s="10">
        <v>4</v>
      </c>
      <c r="K346" s="10">
        <v>0</v>
      </c>
      <c r="L346" s="10">
        <v>0</v>
      </c>
      <c r="M346" s="10"/>
      <c r="N346" s="10"/>
      <c r="O346" s="10">
        <v>3</v>
      </c>
      <c r="P346" s="10">
        <v>0</v>
      </c>
      <c r="Q346" s="10">
        <v>0</v>
      </c>
      <c r="R346" s="10">
        <v>0</v>
      </c>
      <c r="S346" s="35">
        <f t="shared" si="151"/>
        <v>45</v>
      </c>
      <c r="T346" s="10">
        <v>0</v>
      </c>
      <c r="U346" s="59">
        <v>14</v>
      </c>
      <c r="V346" s="59"/>
      <c r="W346" s="10">
        <v>0</v>
      </c>
      <c r="X346" s="5">
        <v>0</v>
      </c>
      <c r="Y346" s="10"/>
      <c r="Z346" s="8">
        <v>1157874</v>
      </c>
      <c r="AA346" s="10">
        <v>753543</v>
      </c>
      <c r="AB346" s="10"/>
      <c r="AC346" s="61">
        <v>713963</v>
      </c>
      <c r="AD346" s="59">
        <v>964268</v>
      </c>
      <c r="AE346" s="35">
        <f t="shared" si="152"/>
        <v>1678231</v>
      </c>
      <c r="AF346" s="10"/>
      <c r="AG346" s="8">
        <v>100</v>
      </c>
      <c r="AH346" s="10">
        <v>33</v>
      </c>
      <c r="AI346" s="10">
        <v>146</v>
      </c>
      <c r="AJ346" s="5">
        <v>32</v>
      </c>
      <c r="AK346" s="10"/>
      <c r="AL346" s="8"/>
      <c r="AM346" s="10"/>
      <c r="AN346" s="35"/>
      <c r="AO346" s="10"/>
      <c r="AP346" s="10"/>
      <c r="AQ346" s="35"/>
      <c r="AR346" s="59"/>
      <c r="AS346" s="59"/>
      <c r="AT346" s="59"/>
      <c r="AU346" s="59"/>
      <c r="AV346" s="62"/>
      <c r="AW346" s="10"/>
      <c r="AX346" s="326"/>
      <c r="AY346" s="5"/>
      <c r="AZ346" s="10"/>
      <c r="BA346" s="8"/>
      <c r="BB346" s="10"/>
      <c r="BC346" s="10"/>
      <c r="BD346" s="10"/>
      <c r="BE346" s="10"/>
      <c r="BF346" s="10"/>
      <c r="BG346" s="10"/>
      <c r="BH346" s="30"/>
      <c r="BI346" s="10"/>
      <c r="BJ346" s="338"/>
      <c r="BK346" s="338"/>
      <c r="BL346" s="303"/>
      <c r="BM346" s="5"/>
      <c r="BN346" s="10"/>
      <c r="BO346" s="8"/>
      <c r="BP346" s="5"/>
      <c r="BQ346" s="10"/>
      <c r="BR346" s="29">
        <v>1999</v>
      </c>
      <c r="BS346" s="64">
        <v>1999</v>
      </c>
      <c r="BT346" s="14">
        <v>12</v>
      </c>
      <c r="BU346" s="10"/>
      <c r="BV346" s="8"/>
      <c r="BW346" s="10"/>
      <c r="BX346" s="10"/>
      <c r="BY346" s="10"/>
      <c r="BZ346" s="10"/>
      <c r="CA346" s="10"/>
      <c r="CB346" s="10"/>
      <c r="CC346" s="221"/>
      <c r="CD346" s="10"/>
      <c r="CE346" s="317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317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38">
        <f t="shared" si="153"/>
        <v>0</v>
      </c>
      <c r="DW346" s="14" t="str">
        <f t="shared" si="154"/>
        <v>PROB</v>
      </c>
    </row>
    <row r="347" spans="1:127" s="6" customFormat="1" ht="12" thickBot="1">
      <c r="A347" s="212" t="s">
        <v>117</v>
      </c>
      <c r="B347" s="83"/>
      <c r="C347" s="52">
        <f t="shared" ref="C347:X347" si="155">SUM(C323:C346)</f>
        <v>85</v>
      </c>
      <c r="D347" s="53">
        <f t="shared" si="155"/>
        <v>396</v>
      </c>
      <c r="E347" s="53">
        <f t="shared" si="155"/>
        <v>36</v>
      </c>
      <c r="F347" s="53">
        <f t="shared" si="155"/>
        <v>10</v>
      </c>
      <c r="G347" s="53">
        <f t="shared" si="155"/>
        <v>34</v>
      </c>
      <c r="H347" s="53">
        <f t="shared" si="155"/>
        <v>24</v>
      </c>
      <c r="I347" s="53">
        <f>SUM(I323:I346)</f>
        <v>1</v>
      </c>
      <c r="J347" s="53">
        <f t="shared" si="155"/>
        <v>130</v>
      </c>
      <c r="K347" s="53">
        <f t="shared" si="155"/>
        <v>6</v>
      </c>
      <c r="L347" s="53">
        <f t="shared" si="155"/>
        <v>8</v>
      </c>
      <c r="M347" s="53"/>
      <c r="N347" s="53"/>
      <c r="O347" s="53">
        <f>SUM(O323:O346)</f>
        <v>142</v>
      </c>
      <c r="P347" s="53">
        <f t="shared" si="155"/>
        <v>62</v>
      </c>
      <c r="Q347" s="53">
        <f t="shared" si="155"/>
        <v>11</v>
      </c>
      <c r="R347" s="53">
        <f t="shared" si="155"/>
        <v>1</v>
      </c>
      <c r="S347" s="55">
        <f t="shared" si="155"/>
        <v>946</v>
      </c>
      <c r="T347" s="53">
        <f t="shared" si="155"/>
        <v>20</v>
      </c>
      <c r="U347" s="53">
        <f t="shared" si="155"/>
        <v>291</v>
      </c>
      <c r="V347" s="53">
        <f t="shared" ref="V347" si="156">SUM(V323:V346)</f>
        <v>0</v>
      </c>
      <c r="W347" s="53">
        <f t="shared" si="155"/>
        <v>0</v>
      </c>
      <c r="X347" s="54">
        <f t="shared" si="155"/>
        <v>7</v>
      </c>
      <c r="Z347" s="52">
        <f>SUM(Z323:Z346)</f>
        <v>27807626</v>
      </c>
      <c r="AA347" s="53">
        <f>SUM(AA323:AA346)</f>
        <v>18528891</v>
      </c>
      <c r="AB347" s="53"/>
      <c r="AC347" s="52">
        <f>SUM(AC323:AC346)</f>
        <v>16039691</v>
      </c>
      <c r="AD347" s="53">
        <f>SUM(AD323:AD346)</f>
        <v>27377122</v>
      </c>
      <c r="AE347" s="55">
        <f>SUM(AE323:AE346)</f>
        <v>43416813</v>
      </c>
      <c r="AG347" s="52">
        <f>SUM(AG323:AG346)</f>
        <v>1798</v>
      </c>
      <c r="AH347" s="53">
        <f>SUM(AH323:AH346)</f>
        <v>1087</v>
      </c>
      <c r="AI347" s="53">
        <f>SUM(AI323:AI346)</f>
        <v>3180</v>
      </c>
      <c r="AJ347" s="54">
        <f>SUM(AJ323:AJ346)</f>
        <v>640</v>
      </c>
      <c r="AL347" s="52">
        <f t="shared" ref="AL347:AV347" si="157">SUM(AL323:AL346)</f>
        <v>145</v>
      </c>
      <c r="AM347" s="53">
        <f t="shared" si="157"/>
        <v>407</v>
      </c>
      <c r="AN347" s="55">
        <f t="shared" si="157"/>
        <v>552</v>
      </c>
      <c r="AO347" s="53">
        <f t="shared" si="157"/>
        <v>551</v>
      </c>
      <c r="AP347" s="53">
        <f t="shared" si="157"/>
        <v>62</v>
      </c>
      <c r="AQ347" s="55">
        <f t="shared" si="157"/>
        <v>613</v>
      </c>
      <c r="AR347" s="53">
        <f t="shared" si="157"/>
        <v>0</v>
      </c>
      <c r="AS347" s="53">
        <f t="shared" si="157"/>
        <v>0</v>
      </c>
      <c r="AT347" s="53">
        <f t="shared" si="157"/>
        <v>0</v>
      </c>
      <c r="AU347" s="53">
        <f t="shared" si="157"/>
        <v>0</v>
      </c>
      <c r="AV347" s="54">
        <f t="shared" si="157"/>
        <v>0</v>
      </c>
      <c r="AX347" s="329"/>
      <c r="AY347" s="54"/>
      <c r="BA347" s="52">
        <f t="shared" ref="BA347:BM347" si="158">SUM(BA323:BA346)</f>
        <v>19689</v>
      </c>
      <c r="BB347" s="53">
        <f t="shared" si="158"/>
        <v>337272786</v>
      </c>
      <c r="BC347" s="53">
        <f t="shared" si="158"/>
        <v>237774848</v>
      </c>
      <c r="BD347" s="53"/>
      <c r="BE347" s="53">
        <f t="shared" si="158"/>
        <v>590</v>
      </c>
      <c r="BF347" s="53">
        <f t="shared" si="158"/>
        <v>108</v>
      </c>
      <c r="BG347" s="53">
        <f t="shared" si="158"/>
        <v>39</v>
      </c>
      <c r="BH347" s="55"/>
      <c r="BI347" s="53">
        <f t="shared" si="158"/>
        <v>18881913</v>
      </c>
      <c r="BJ347" s="339"/>
      <c r="BK347" s="339"/>
      <c r="BL347" s="304"/>
      <c r="BM347" s="54">
        <f t="shared" si="158"/>
        <v>0</v>
      </c>
      <c r="BO347" s="52">
        <f>SUM(BO323:BO346)</f>
        <v>0</v>
      </c>
      <c r="BP347" s="54">
        <f>SUM(BP323:BP346)</f>
        <v>1805</v>
      </c>
      <c r="BR347" s="81" t="s">
        <v>118</v>
      </c>
      <c r="BS347" s="80"/>
      <c r="BT347" s="82"/>
      <c r="BV347" s="52">
        <f>SUM(BV323:BV346)</f>
        <v>0</v>
      </c>
      <c r="BW347" s="53">
        <f>SUM(BW323:BW346)</f>
        <v>0</v>
      </c>
      <c r="BX347" s="53">
        <f t="shared" ref="BX347:DU347" si="159">SUM(BX323:BX346)</f>
        <v>0</v>
      </c>
      <c r="BY347" s="53">
        <f t="shared" si="159"/>
        <v>0</v>
      </c>
      <c r="BZ347" s="53">
        <f t="shared" si="159"/>
        <v>0</v>
      </c>
      <c r="CA347" s="53">
        <f t="shared" si="159"/>
        <v>0</v>
      </c>
      <c r="CB347" s="53">
        <f t="shared" si="159"/>
        <v>0</v>
      </c>
      <c r="CC347" s="53">
        <f t="shared" si="159"/>
        <v>0</v>
      </c>
      <c r="CD347" s="53">
        <f t="shared" si="159"/>
        <v>0</v>
      </c>
      <c r="CE347" s="53">
        <f t="shared" si="159"/>
        <v>0</v>
      </c>
      <c r="CF347" s="53">
        <f t="shared" si="159"/>
        <v>0</v>
      </c>
      <c r="CG347" s="53">
        <f t="shared" si="159"/>
        <v>0</v>
      </c>
      <c r="CH347" s="53">
        <f t="shared" si="159"/>
        <v>0</v>
      </c>
      <c r="CI347" s="53">
        <f t="shared" si="159"/>
        <v>0</v>
      </c>
      <c r="CJ347" s="53">
        <f t="shared" si="159"/>
        <v>0</v>
      </c>
      <c r="CK347" s="53">
        <f t="shared" si="159"/>
        <v>0</v>
      </c>
      <c r="CL347" s="53">
        <f t="shared" si="159"/>
        <v>0</v>
      </c>
      <c r="CM347" s="53">
        <f t="shared" si="159"/>
        <v>0</v>
      </c>
      <c r="CN347" s="53">
        <f t="shared" si="159"/>
        <v>0</v>
      </c>
      <c r="CO347" s="53">
        <f t="shared" si="159"/>
        <v>0</v>
      </c>
      <c r="CP347" s="53">
        <f t="shared" si="159"/>
        <v>0</v>
      </c>
      <c r="CQ347" s="53">
        <f t="shared" si="159"/>
        <v>0</v>
      </c>
      <c r="CR347" s="53">
        <f t="shared" si="159"/>
        <v>0</v>
      </c>
      <c r="CS347" s="53">
        <f t="shared" si="159"/>
        <v>0</v>
      </c>
      <c r="CT347" s="53">
        <f t="shared" si="159"/>
        <v>0</v>
      </c>
      <c r="CU347" s="53">
        <f t="shared" si="159"/>
        <v>0</v>
      </c>
      <c r="CV347" s="53">
        <f t="shared" si="159"/>
        <v>0</v>
      </c>
      <c r="CW347" s="53">
        <f t="shared" si="159"/>
        <v>0</v>
      </c>
      <c r="CX347" s="53">
        <f t="shared" si="159"/>
        <v>0</v>
      </c>
      <c r="CY347" s="53">
        <f t="shared" si="159"/>
        <v>0</v>
      </c>
      <c r="CZ347" s="53">
        <f t="shared" si="159"/>
        <v>0</v>
      </c>
      <c r="DA347" s="53">
        <f t="shared" si="159"/>
        <v>0</v>
      </c>
      <c r="DB347" s="53">
        <f t="shared" si="159"/>
        <v>0</v>
      </c>
      <c r="DC347" s="53">
        <f t="shared" si="159"/>
        <v>0</v>
      </c>
      <c r="DD347" s="53">
        <f t="shared" si="159"/>
        <v>0</v>
      </c>
      <c r="DE347" s="53">
        <f t="shared" si="159"/>
        <v>0</v>
      </c>
      <c r="DF347" s="53">
        <f t="shared" si="159"/>
        <v>0</v>
      </c>
      <c r="DG347" s="53">
        <f t="shared" si="159"/>
        <v>0</v>
      </c>
      <c r="DH347" s="53">
        <f t="shared" si="159"/>
        <v>0</v>
      </c>
      <c r="DI347" s="53">
        <f t="shared" si="159"/>
        <v>0</v>
      </c>
      <c r="DJ347" s="53">
        <f t="shared" si="159"/>
        <v>0</v>
      </c>
      <c r="DK347" s="53">
        <f t="shared" si="159"/>
        <v>0</v>
      </c>
      <c r="DL347" s="53">
        <f t="shared" si="159"/>
        <v>0</v>
      </c>
      <c r="DM347" s="53">
        <f t="shared" si="159"/>
        <v>0</v>
      </c>
      <c r="DN347" s="53">
        <f t="shared" si="159"/>
        <v>0</v>
      </c>
      <c r="DO347" s="53">
        <f t="shared" si="159"/>
        <v>0</v>
      </c>
      <c r="DP347" s="53">
        <f t="shared" si="159"/>
        <v>0</v>
      </c>
      <c r="DQ347" s="53">
        <f t="shared" si="159"/>
        <v>0</v>
      </c>
      <c r="DR347" s="53">
        <f t="shared" si="159"/>
        <v>0</v>
      </c>
      <c r="DS347" s="53">
        <f t="shared" si="159"/>
        <v>0</v>
      </c>
      <c r="DT347" s="53">
        <f t="shared" si="159"/>
        <v>0</v>
      </c>
      <c r="DU347" s="53">
        <f t="shared" si="159"/>
        <v>0</v>
      </c>
      <c r="DV347" s="54">
        <f t="shared" si="153"/>
        <v>0</v>
      </c>
      <c r="DW347" s="48"/>
    </row>
    <row r="348" spans="1:127" s="6" customFormat="1" ht="12" thickTop="1">
      <c r="A348" s="213" t="s">
        <v>119</v>
      </c>
      <c r="B348" s="24"/>
      <c r="C348" s="39">
        <f t="shared" ref="C348:R348" si="160">ROUND(IF(ISERROR(AVERAGE(C323:C346)),0,AVERAGE(C323:C346)),0)</f>
        <v>4</v>
      </c>
      <c r="D348" s="24">
        <f t="shared" si="160"/>
        <v>17</v>
      </c>
      <c r="E348" s="24">
        <f t="shared" si="160"/>
        <v>2</v>
      </c>
      <c r="F348" s="24">
        <f t="shared" si="160"/>
        <v>0</v>
      </c>
      <c r="G348" s="24">
        <f t="shared" si="160"/>
        <v>1</v>
      </c>
      <c r="H348" s="24">
        <f t="shared" si="160"/>
        <v>1</v>
      </c>
      <c r="I348" s="24">
        <f>ROUND(IF(ISERROR(AVERAGE(I323:I346)),0,AVERAGE(I323:I346)),0)</f>
        <v>0</v>
      </c>
      <c r="J348" s="24">
        <f t="shared" si="160"/>
        <v>5</v>
      </c>
      <c r="K348" s="24">
        <f t="shared" si="160"/>
        <v>0</v>
      </c>
      <c r="L348" s="24">
        <f t="shared" si="160"/>
        <v>0</v>
      </c>
      <c r="M348" s="24"/>
      <c r="N348" s="24"/>
      <c r="O348" s="24">
        <f>ROUND(IF(ISERROR(AVERAGE(O323:O346)),0,AVERAGE(O323:O346)),0)</f>
        <v>6</v>
      </c>
      <c r="P348" s="24">
        <f t="shared" si="160"/>
        <v>3</v>
      </c>
      <c r="Q348" s="24">
        <f t="shared" si="160"/>
        <v>0</v>
      </c>
      <c r="R348" s="24">
        <f t="shared" si="160"/>
        <v>0</v>
      </c>
      <c r="S348" s="31">
        <f>SUM(C348:R348)</f>
        <v>39</v>
      </c>
      <c r="T348" s="24">
        <f>ROUND(IF(ISERROR(AVERAGE(T323:T346)),0,AVERAGE(T323:T346)),0)</f>
        <v>1</v>
      </c>
      <c r="U348" s="24">
        <f>ROUND(IF(ISERROR(AVERAGE(U323:U346)),0,AVERAGE(U323:U346)),0)</f>
        <v>12</v>
      </c>
      <c r="V348" s="24">
        <f>ROUND(IF(ISERROR(AVERAGE(V323:V346)),0,AVERAGE(V323:V346)),0)</f>
        <v>0</v>
      </c>
      <c r="W348" s="24">
        <f>ROUND(IF(ISERROR(AVERAGE(W323:W346)),0,AVERAGE(W323:W346)),0)</f>
        <v>0</v>
      </c>
      <c r="X348" s="40">
        <f>ROUND(IF(ISERROR(AVERAGE(X323:X346)),0,AVERAGE(X323:X346)),0)</f>
        <v>0</v>
      </c>
      <c r="Z348" s="39">
        <f>ROUND(IF(ISERROR(AVERAGE(Z323:Z346)),0,AVERAGE(Z323:Z346)),0)</f>
        <v>1158651</v>
      </c>
      <c r="AA348" s="24">
        <f>ROUND(IF(ISERROR(AVERAGE(AA323:AA346)),0,AVERAGE(AA323:AA346)),0)</f>
        <v>772037</v>
      </c>
      <c r="AB348" s="24"/>
      <c r="AC348" s="39">
        <f>ROUND(IF(ISERROR(AVERAGE(AC323:AC346)),0,AVERAGE(AC323:AC346)),0)</f>
        <v>668320</v>
      </c>
      <c r="AD348" s="24">
        <f>ROUND(IF(ISERROR(AVERAGE(AD323:AD346)),0,AVERAGE(AD323:AD346)),0)</f>
        <v>1140713</v>
      </c>
      <c r="AE348" s="31">
        <f>SUM(AC348:AD348)</f>
        <v>1809033</v>
      </c>
      <c r="AG348" s="39">
        <f>ROUND(IF(ISERROR(AVERAGE(AG323:AG346)),0,AVERAGE(AG323:AG346)),0)</f>
        <v>75</v>
      </c>
      <c r="AH348" s="24">
        <f>ROUND(IF(ISERROR(AVERAGE(AH323:AH346)),0,AVERAGE(AH323:AH346)),0)</f>
        <v>45</v>
      </c>
      <c r="AI348" s="24">
        <f>ROUND(IF(ISERROR(AVERAGE(AI323:AI346)),0,AVERAGE(AI323:AI346)),0)</f>
        <v>133</v>
      </c>
      <c r="AJ348" s="40">
        <f>ROUND(IF(ISERROR(AVERAGE(AJ323:AJ346)),0,AVERAGE(AJ323:AJ346)),0)</f>
        <v>27</v>
      </c>
      <c r="AL348" s="39">
        <f>ROUND(IF(ISERROR(AVERAGE(AL323:AL346)),0,AVERAGE(AL323:AL346)),0)</f>
        <v>36</v>
      </c>
      <c r="AM348" s="24">
        <f>ROUND(IF(ISERROR(AVERAGE(AM323:AM346)),0,AVERAGE(AM323:AM346)),0)</f>
        <v>102</v>
      </c>
      <c r="AN348" s="31">
        <f>SUM(AL348:AM348)</f>
        <v>138</v>
      </c>
      <c r="AO348" s="24">
        <f>ROUND(IF(ISERROR(AVERAGE(AO323:AO346)),0,AVERAGE(AO323:AO346)),0)</f>
        <v>110</v>
      </c>
      <c r="AP348" s="24">
        <f>ROUND(IF(ISERROR(AVERAGE(AP323:AP346)),0,AVERAGE(AP323:AP346)),0)</f>
        <v>12</v>
      </c>
      <c r="AQ348" s="31">
        <f>SUM(AO348:AP348)</f>
        <v>122</v>
      </c>
      <c r="AR348" s="24">
        <f>ROUND(IF(ISERROR(AVERAGE(AR323:AR346)),0,AVERAGE(AR323:AR346)),0)</f>
        <v>0</v>
      </c>
      <c r="AS348" s="24">
        <f>ROUND(IF(ISERROR(AVERAGE(AS323:AS346)),0,AVERAGE(AS323:AS346)),0)</f>
        <v>0</v>
      </c>
      <c r="AT348" s="24">
        <f>ROUND(IF(ISERROR(AVERAGE(AT323:AT346)),0,AVERAGE(AT323:AT346)),0)</f>
        <v>0</v>
      </c>
      <c r="AU348" s="24">
        <f>ROUND(IF(ISERROR(AVERAGE(AU323:AU346)),0,AVERAGE(AU323:AU346)),0)</f>
        <v>0</v>
      </c>
      <c r="AV348" s="40">
        <f>ROUND(IF(ISERROR(AVERAGE(AV323:AV346)),0,AVERAGE(AV323:AV346)),0)</f>
        <v>0</v>
      </c>
      <c r="AX348" s="330"/>
      <c r="AY348" s="40"/>
      <c r="BA348" s="39">
        <f t="shared" ref="BA348:BM348" si="161">ROUND(IF(ISERROR(AVERAGE(BA323:BA346)),0,AVERAGE(BA323:BA346)),0)</f>
        <v>1641</v>
      </c>
      <c r="BB348" s="24">
        <f t="shared" si="161"/>
        <v>28106066</v>
      </c>
      <c r="BC348" s="24">
        <f t="shared" si="161"/>
        <v>19814571</v>
      </c>
      <c r="BD348" s="24"/>
      <c r="BE348" s="24">
        <f t="shared" si="161"/>
        <v>49</v>
      </c>
      <c r="BF348" s="24">
        <f t="shared" si="161"/>
        <v>9</v>
      </c>
      <c r="BG348" s="24">
        <f t="shared" si="161"/>
        <v>3</v>
      </c>
      <c r="BH348" s="31"/>
      <c r="BI348" s="24">
        <f t="shared" si="161"/>
        <v>1573493</v>
      </c>
      <c r="BJ348" s="340"/>
      <c r="BK348" s="340"/>
      <c r="BL348" s="305"/>
      <c r="BM348" s="40">
        <f t="shared" si="161"/>
        <v>0</v>
      </c>
      <c r="BO348" s="39">
        <f>ROUND(IF(ISERROR(AVERAGE(BO323:BO346)),0,AVERAGE(BO323:BO346)),0)</f>
        <v>0</v>
      </c>
      <c r="BP348" s="40">
        <f>ROUND(IF(ISERROR(AVERAGE(BP323:BP346)),0,AVERAGE(BP323:BP346)),0)</f>
        <v>150</v>
      </c>
      <c r="BR348" s="65" t="s">
        <v>120</v>
      </c>
      <c r="BS348" s="19"/>
      <c r="BT348" s="14"/>
      <c r="BV348" s="39">
        <f>ROUND(IF(ISERROR(AVERAGE(BV323:BV346)),0,AVERAGE(BV323:BV346)),0)</f>
        <v>0</v>
      </c>
      <c r="BW348" s="24">
        <f>ROUND(IF(ISERROR(AVERAGE(BW323:BW346)),0,AVERAGE(BW323:BW346)),0)</f>
        <v>0</v>
      </c>
      <c r="BX348" s="24">
        <f t="shared" ref="BX348:DU348" si="162">ROUND(IF(ISERROR(AVERAGE(BX323:BX346)),0,AVERAGE(BX323:BX346)),0)</f>
        <v>0</v>
      </c>
      <c r="BY348" s="24">
        <f t="shared" si="162"/>
        <v>0</v>
      </c>
      <c r="BZ348" s="24">
        <f t="shared" si="162"/>
        <v>0</v>
      </c>
      <c r="CA348" s="24">
        <f t="shared" si="162"/>
        <v>0</v>
      </c>
      <c r="CB348" s="24">
        <f t="shared" si="162"/>
        <v>0</v>
      </c>
      <c r="CC348" s="24">
        <f t="shared" si="162"/>
        <v>0</v>
      </c>
      <c r="CD348" s="24">
        <f t="shared" si="162"/>
        <v>0</v>
      </c>
      <c r="CE348" s="24">
        <f t="shared" si="162"/>
        <v>0</v>
      </c>
      <c r="CF348" s="24">
        <f t="shared" si="162"/>
        <v>0</v>
      </c>
      <c r="CG348" s="24">
        <f t="shared" si="162"/>
        <v>0</v>
      </c>
      <c r="CH348" s="24">
        <f t="shared" si="162"/>
        <v>0</v>
      </c>
      <c r="CI348" s="24">
        <f t="shared" si="162"/>
        <v>0</v>
      </c>
      <c r="CJ348" s="24">
        <f t="shared" si="162"/>
        <v>0</v>
      </c>
      <c r="CK348" s="24">
        <f t="shared" si="162"/>
        <v>0</v>
      </c>
      <c r="CL348" s="24">
        <f t="shared" si="162"/>
        <v>0</v>
      </c>
      <c r="CM348" s="24">
        <f t="shared" si="162"/>
        <v>0</v>
      </c>
      <c r="CN348" s="24">
        <f t="shared" si="162"/>
        <v>0</v>
      </c>
      <c r="CO348" s="24">
        <f t="shared" si="162"/>
        <v>0</v>
      </c>
      <c r="CP348" s="24">
        <f t="shared" si="162"/>
        <v>0</v>
      </c>
      <c r="CQ348" s="24">
        <f t="shared" si="162"/>
        <v>0</v>
      </c>
      <c r="CR348" s="24">
        <f t="shared" si="162"/>
        <v>0</v>
      </c>
      <c r="CS348" s="24">
        <f t="shared" si="162"/>
        <v>0</v>
      </c>
      <c r="CT348" s="24">
        <f t="shared" si="162"/>
        <v>0</v>
      </c>
      <c r="CU348" s="24">
        <f t="shared" si="162"/>
        <v>0</v>
      </c>
      <c r="CV348" s="24">
        <f t="shared" si="162"/>
        <v>0</v>
      </c>
      <c r="CW348" s="24">
        <f t="shared" si="162"/>
        <v>0</v>
      </c>
      <c r="CX348" s="24">
        <f t="shared" si="162"/>
        <v>0</v>
      </c>
      <c r="CY348" s="24">
        <f t="shared" si="162"/>
        <v>0</v>
      </c>
      <c r="CZ348" s="24">
        <f t="shared" si="162"/>
        <v>0</v>
      </c>
      <c r="DA348" s="24">
        <f t="shared" si="162"/>
        <v>0</v>
      </c>
      <c r="DB348" s="24">
        <f t="shared" si="162"/>
        <v>0</v>
      </c>
      <c r="DC348" s="24">
        <f t="shared" si="162"/>
        <v>0</v>
      </c>
      <c r="DD348" s="24">
        <f t="shared" si="162"/>
        <v>0</v>
      </c>
      <c r="DE348" s="24">
        <f t="shared" si="162"/>
        <v>0</v>
      </c>
      <c r="DF348" s="24">
        <f t="shared" si="162"/>
        <v>0</v>
      </c>
      <c r="DG348" s="24">
        <f t="shared" si="162"/>
        <v>0</v>
      </c>
      <c r="DH348" s="24">
        <f t="shared" si="162"/>
        <v>0</v>
      </c>
      <c r="DI348" s="24">
        <f t="shared" si="162"/>
        <v>0</v>
      </c>
      <c r="DJ348" s="24">
        <f t="shared" si="162"/>
        <v>0</v>
      </c>
      <c r="DK348" s="24">
        <f t="shared" si="162"/>
        <v>0</v>
      </c>
      <c r="DL348" s="24">
        <f t="shared" si="162"/>
        <v>0</v>
      </c>
      <c r="DM348" s="24">
        <f t="shared" si="162"/>
        <v>0</v>
      </c>
      <c r="DN348" s="24">
        <f t="shared" si="162"/>
        <v>0</v>
      </c>
      <c r="DO348" s="24">
        <f t="shared" si="162"/>
        <v>0</v>
      </c>
      <c r="DP348" s="24">
        <f t="shared" si="162"/>
        <v>0</v>
      </c>
      <c r="DQ348" s="24">
        <f t="shared" si="162"/>
        <v>0</v>
      </c>
      <c r="DR348" s="24">
        <f t="shared" si="162"/>
        <v>0</v>
      </c>
      <c r="DS348" s="24">
        <f t="shared" si="162"/>
        <v>0</v>
      </c>
      <c r="DT348" s="24">
        <f t="shared" si="162"/>
        <v>0</v>
      </c>
      <c r="DU348" s="24">
        <f t="shared" si="162"/>
        <v>0</v>
      </c>
      <c r="DV348" s="18"/>
      <c r="DW348" s="48"/>
    </row>
    <row r="349" spans="1:127" customFormat="1">
      <c r="A349" s="210" t="s">
        <v>121</v>
      </c>
      <c r="B349" s="211"/>
      <c r="C349" s="8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30">
        <f>MEDIAN(S323:S346)</f>
        <v>36.5</v>
      </c>
      <c r="T349" s="10"/>
      <c r="U349" s="10"/>
      <c r="V349" s="10"/>
      <c r="W349" s="10"/>
      <c r="X349" s="5"/>
      <c r="Y349" s="10"/>
      <c r="Z349" s="8"/>
      <c r="AA349" s="10">
        <f>IF(ISERROR(MEDIAN(AA323:AA346)),"",MEDIAN(AA323:AA346))</f>
        <v>759843.5</v>
      </c>
      <c r="AB349" s="10"/>
      <c r="AC349" s="8"/>
      <c r="AD349" s="10"/>
      <c r="AE349" s="30"/>
      <c r="AF349" s="10"/>
      <c r="AG349" s="8"/>
      <c r="AH349" s="10"/>
      <c r="AI349" s="10">
        <f>IF(ISERROR(MEDIAN(AI323:AI346)),"",MEDIAN(AI323:AI346))</f>
        <v>140</v>
      </c>
      <c r="AJ349" s="5">
        <f>IF(ISERROR(MEDIAN(AJ323:AJ346)),"",MEDIAN(AJ323:AJ346))</f>
        <v>26</v>
      </c>
      <c r="AK349" s="10"/>
      <c r="AL349" s="8"/>
      <c r="AM349" s="10"/>
      <c r="AN349" s="30"/>
      <c r="AO349" s="10"/>
      <c r="AP349" s="10"/>
      <c r="AQ349" s="30"/>
      <c r="AR349" s="10"/>
      <c r="AS349" s="10"/>
      <c r="AT349" s="10"/>
      <c r="AU349" s="10"/>
      <c r="AV349" s="5"/>
      <c r="AW349" s="10"/>
      <c r="AX349" s="326"/>
      <c r="AY349" s="5"/>
      <c r="AZ349" s="10"/>
      <c r="BA349" s="8">
        <f>IF(ISERROR(MEDIAN(BA323:BA346)),"",MEDIAN(BA323:BA346))</f>
        <v>1647.5</v>
      </c>
      <c r="BB349" s="10"/>
      <c r="BC349" s="10"/>
      <c r="BD349" s="10"/>
      <c r="BE349" s="10"/>
      <c r="BF349" s="10"/>
      <c r="BG349" s="10"/>
      <c r="BH349" s="30"/>
      <c r="BI349" s="10"/>
      <c r="BJ349" s="338"/>
      <c r="BK349" s="338"/>
      <c r="BL349" s="303"/>
      <c r="BM349" s="5"/>
      <c r="BN349" s="10"/>
      <c r="BO349" s="8"/>
      <c r="BP349" s="5"/>
      <c r="BQ349" s="10"/>
      <c r="BR349" s="65"/>
      <c r="BS349" s="19"/>
      <c r="BT349" s="14"/>
      <c r="BU349" s="10"/>
      <c r="BV349" s="8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5"/>
      <c r="DW349" s="21"/>
    </row>
    <row r="350" spans="1:127" customFormat="1" ht="12" thickBot="1">
      <c r="A350" s="214" t="s">
        <v>122</v>
      </c>
      <c r="B350" s="195"/>
      <c r="C350" s="41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32">
        <f>MODE(S323:S346)</f>
        <v>44</v>
      </c>
      <c r="T350" s="22"/>
      <c r="U350" s="22"/>
      <c r="V350" s="22"/>
      <c r="W350" s="22"/>
      <c r="X350" s="42"/>
      <c r="Y350" s="22"/>
      <c r="Z350" s="41"/>
      <c r="AA350" s="22"/>
      <c r="AB350" s="22"/>
      <c r="AC350" s="41"/>
      <c r="AD350" s="22"/>
      <c r="AE350" s="32"/>
      <c r="AF350" s="22"/>
      <c r="AG350" s="41"/>
      <c r="AH350" s="22"/>
      <c r="AI350" s="22">
        <f>IF(ISERROR(MODE(AI323:AI346)),"",MODE(AI323:AI346))</f>
        <v>146</v>
      </c>
      <c r="AJ350" s="42">
        <f>IF(ISERROR(MODE(AJ323:AJ346)),"",MODE(AJ323:AJ346))</f>
        <v>32</v>
      </c>
      <c r="AK350" s="22"/>
      <c r="AL350" s="41"/>
      <c r="AM350" s="22"/>
      <c r="AN350" s="32"/>
      <c r="AO350" s="22"/>
      <c r="AP350" s="22"/>
      <c r="AQ350" s="32"/>
      <c r="AR350" s="22"/>
      <c r="AS350" s="22"/>
      <c r="AT350" s="22"/>
      <c r="AU350" s="22"/>
      <c r="AV350" s="42"/>
      <c r="AW350" s="22"/>
      <c r="AX350" s="331"/>
      <c r="AY350" s="42"/>
      <c r="AZ350" s="22"/>
      <c r="BA350" s="41"/>
      <c r="BB350" s="22"/>
      <c r="BC350" s="22"/>
      <c r="BD350" s="22"/>
      <c r="BE350" s="22"/>
      <c r="BF350" s="22"/>
      <c r="BG350" s="22"/>
      <c r="BH350" s="32"/>
      <c r="BI350" s="22"/>
      <c r="BJ350" s="341"/>
      <c r="BK350" s="341"/>
      <c r="BL350" s="306"/>
      <c r="BM350" s="42"/>
      <c r="BN350" s="22"/>
      <c r="BO350" s="41"/>
      <c r="BP350" s="42"/>
      <c r="BQ350" s="22"/>
      <c r="BR350" s="66"/>
      <c r="BS350" s="51"/>
      <c r="BT350" s="67"/>
      <c r="BU350" s="22"/>
      <c r="BV350" s="41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42"/>
      <c r="DW350" s="23"/>
    </row>
    <row r="351" spans="1:127" customFormat="1" ht="12" thickBot="1">
      <c r="A351" s="194"/>
      <c r="B351" s="194"/>
      <c r="C351" s="8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30"/>
      <c r="T351" s="10"/>
      <c r="U351" s="97">
        <f>U347/S347</f>
        <v>0.30761099365750527</v>
      </c>
      <c r="V351" s="97"/>
      <c r="W351" s="10"/>
      <c r="X351" s="5"/>
      <c r="Z351" s="8"/>
      <c r="AA351" s="10"/>
      <c r="AB351" s="10"/>
      <c r="AC351" s="8"/>
      <c r="AD351" s="10"/>
      <c r="AE351" s="30"/>
      <c r="AG351" s="8"/>
      <c r="AH351" s="10"/>
      <c r="AI351" s="10"/>
      <c r="AJ351" s="5"/>
      <c r="AL351" s="8"/>
      <c r="AM351" s="10"/>
      <c r="AN351" s="30"/>
      <c r="AO351" s="10"/>
      <c r="AP351" s="10"/>
      <c r="AQ351" s="30"/>
      <c r="AR351" s="10"/>
      <c r="AS351" s="10"/>
      <c r="AT351" s="10"/>
      <c r="AU351" s="10"/>
      <c r="AV351" s="5"/>
      <c r="AX351" s="326"/>
      <c r="AY351" s="5"/>
      <c r="AZ351" s="324"/>
      <c r="BA351" s="8"/>
      <c r="BB351" s="10"/>
      <c r="BC351" s="10"/>
      <c r="BD351" s="10"/>
      <c r="BE351" s="10"/>
      <c r="BF351" s="10"/>
      <c r="BG351" s="10"/>
      <c r="BH351" s="30"/>
      <c r="BI351" s="10"/>
      <c r="BJ351" s="338"/>
      <c r="BK351" s="338"/>
      <c r="BL351" s="303"/>
      <c r="BM351" s="5"/>
      <c r="BO351" s="8"/>
      <c r="BP351" s="5"/>
      <c r="BR351" s="65"/>
      <c r="BS351" s="19"/>
      <c r="BT351" s="14"/>
      <c r="BV351" s="8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5"/>
    </row>
    <row r="352" spans="1:127" customFormat="1">
      <c r="A352" s="208">
        <v>36342</v>
      </c>
      <c r="B352" s="209"/>
      <c r="C352" s="36">
        <v>1</v>
      </c>
      <c r="D352" s="9">
        <v>7</v>
      </c>
      <c r="E352" s="9">
        <v>0</v>
      </c>
      <c r="F352" s="9">
        <v>0</v>
      </c>
      <c r="G352" s="9">
        <v>3</v>
      </c>
      <c r="H352" s="9">
        <v>0</v>
      </c>
      <c r="I352" s="9">
        <v>0</v>
      </c>
      <c r="J352" s="9">
        <v>1</v>
      </c>
      <c r="K352" s="9">
        <v>0</v>
      </c>
      <c r="L352" s="9">
        <v>0</v>
      </c>
      <c r="M352" s="9"/>
      <c r="N352" s="9"/>
      <c r="O352" s="9">
        <v>3</v>
      </c>
      <c r="P352" s="9">
        <v>0</v>
      </c>
      <c r="Q352" s="9">
        <v>0</v>
      </c>
      <c r="R352" s="9">
        <v>0</v>
      </c>
      <c r="S352" s="33">
        <f t="shared" ref="S352:S375" si="163">SUM(C352:R352)</f>
        <v>15</v>
      </c>
      <c r="T352" s="9">
        <v>0</v>
      </c>
      <c r="U352" s="9">
        <v>2</v>
      </c>
      <c r="V352" s="9"/>
      <c r="W352" s="9">
        <v>0</v>
      </c>
      <c r="X352" s="37">
        <v>0</v>
      </c>
      <c r="Y352" s="9"/>
      <c r="Z352" s="36">
        <v>1004311</v>
      </c>
      <c r="AA352" s="9">
        <v>267429</v>
      </c>
      <c r="AB352" s="9"/>
      <c r="AC352" s="36">
        <v>254133</v>
      </c>
      <c r="AD352" s="9">
        <v>682268</v>
      </c>
      <c r="AE352" s="33">
        <f t="shared" ref="AE352:AE375" si="164">SUM(AC352:AD352)</f>
        <v>936401</v>
      </c>
      <c r="AF352" s="9"/>
      <c r="AG352" s="36">
        <v>31</v>
      </c>
      <c r="AH352" s="9">
        <v>37</v>
      </c>
      <c r="AI352" s="9">
        <v>110</v>
      </c>
      <c r="AJ352" s="37">
        <v>20</v>
      </c>
      <c r="AK352" s="9"/>
      <c r="AL352" s="36">
        <v>36</v>
      </c>
      <c r="AM352" s="9">
        <v>85</v>
      </c>
      <c r="AN352" s="33">
        <f>SUM(AL352:AM352)</f>
        <v>121</v>
      </c>
      <c r="AO352" s="9">
        <v>91</v>
      </c>
      <c r="AP352" s="9">
        <v>12</v>
      </c>
      <c r="AQ352" s="33">
        <f>SUM(AO352:AP352)</f>
        <v>103</v>
      </c>
      <c r="AR352" s="92"/>
      <c r="AS352" s="92"/>
      <c r="AT352" s="92"/>
      <c r="AU352" s="92"/>
      <c r="AV352" s="93"/>
      <c r="AW352" s="9"/>
      <c r="AX352" s="325"/>
      <c r="AY352" s="37"/>
      <c r="AZ352" s="9"/>
      <c r="BA352" s="36">
        <v>1667</v>
      </c>
      <c r="BB352" s="9">
        <v>28001014</v>
      </c>
      <c r="BC352" s="9"/>
      <c r="BD352" s="9"/>
      <c r="BE352" s="9">
        <v>77</v>
      </c>
      <c r="BF352" s="9">
        <v>5</v>
      </c>
      <c r="BG352" s="9">
        <v>1</v>
      </c>
      <c r="BH352" s="350"/>
      <c r="BI352" s="9">
        <v>1812116</v>
      </c>
      <c r="BJ352" s="337"/>
      <c r="BK352" s="337"/>
      <c r="BL352" s="302"/>
      <c r="BM352" s="37"/>
      <c r="BN352" s="9"/>
      <c r="BO352" s="36"/>
      <c r="BP352" s="37">
        <v>153</v>
      </c>
      <c r="BQ352" s="9"/>
      <c r="BR352" s="74">
        <v>2000</v>
      </c>
      <c r="BS352" s="75">
        <v>1999</v>
      </c>
      <c r="BT352" s="13">
        <v>13</v>
      </c>
      <c r="BU352" s="9"/>
      <c r="BV352" s="36"/>
      <c r="BW352" s="9"/>
      <c r="BX352" s="9"/>
      <c r="BY352" s="9"/>
      <c r="BZ352" s="9"/>
      <c r="CA352" s="9"/>
      <c r="CB352" s="9"/>
      <c r="CC352" s="223"/>
      <c r="CD352" s="9"/>
      <c r="CE352" s="220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220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44">
        <f t="shared" ref="DV352:DV376" si="165">SUM(BV352:DU352)</f>
        <v>0</v>
      </c>
      <c r="DW352" s="13" t="str">
        <f t="shared" ref="DW352:DW375" si="166">IF(DV352=S352,"","PROB")</f>
        <v>PROB</v>
      </c>
    </row>
    <row r="353" spans="1:127" customFormat="1">
      <c r="A353" s="210">
        <v>36356</v>
      </c>
      <c r="B353" s="211"/>
      <c r="C353" s="8">
        <v>4</v>
      </c>
      <c r="D353" s="10">
        <v>13</v>
      </c>
      <c r="E353" s="10">
        <v>0</v>
      </c>
      <c r="F353" s="10">
        <v>0</v>
      </c>
      <c r="G353" s="10">
        <v>1</v>
      </c>
      <c r="H353" s="10">
        <v>1</v>
      </c>
      <c r="I353" s="10">
        <v>0</v>
      </c>
      <c r="J353" s="10">
        <v>33</v>
      </c>
      <c r="K353" s="10">
        <v>0</v>
      </c>
      <c r="L353" s="10">
        <v>0</v>
      </c>
      <c r="M353" s="10"/>
      <c r="N353" s="10"/>
      <c r="O353" s="10">
        <v>5</v>
      </c>
      <c r="P353" s="10">
        <v>2</v>
      </c>
      <c r="Q353" s="10">
        <v>0</v>
      </c>
      <c r="R353" s="10">
        <v>0</v>
      </c>
      <c r="S353" s="35">
        <f t="shared" si="163"/>
        <v>59</v>
      </c>
      <c r="T353" s="10">
        <v>0</v>
      </c>
      <c r="U353" s="59">
        <v>39</v>
      </c>
      <c r="V353" s="59"/>
      <c r="W353" s="10">
        <v>0</v>
      </c>
      <c r="X353" s="5">
        <v>0</v>
      </c>
      <c r="Y353" s="10"/>
      <c r="Z353" s="8">
        <v>1221101</v>
      </c>
      <c r="AA353" s="10">
        <v>1074407</v>
      </c>
      <c r="AB353" s="10"/>
      <c r="AC353" s="61">
        <v>602689</v>
      </c>
      <c r="AD353" s="59">
        <v>1296159</v>
      </c>
      <c r="AE353" s="35">
        <f t="shared" si="164"/>
        <v>1898848</v>
      </c>
      <c r="AF353" s="10"/>
      <c r="AG353" s="8">
        <v>90</v>
      </c>
      <c r="AH353" s="10">
        <v>43</v>
      </c>
      <c r="AI353" s="10">
        <v>148</v>
      </c>
      <c r="AJ353" s="5">
        <v>28</v>
      </c>
      <c r="AK353" s="10"/>
      <c r="AL353" s="8"/>
      <c r="AM353" s="10"/>
      <c r="AN353" s="35"/>
      <c r="AO353" s="10"/>
      <c r="AP353" s="10"/>
      <c r="AQ353" s="35"/>
      <c r="AR353" s="59"/>
      <c r="AS353" s="59"/>
      <c r="AT353" s="59"/>
      <c r="AU353" s="59"/>
      <c r="AV353" s="62"/>
      <c r="AW353" s="10"/>
      <c r="AX353" s="326"/>
      <c r="AY353" s="5"/>
      <c r="AZ353" s="10"/>
      <c r="BA353" s="8"/>
      <c r="BB353" s="10"/>
      <c r="BC353" s="10"/>
      <c r="BD353" s="10"/>
      <c r="BE353" s="10"/>
      <c r="BF353" s="10"/>
      <c r="BG353" s="10"/>
      <c r="BH353" s="30"/>
      <c r="BI353" s="10"/>
      <c r="BJ353" s="338"/>
      <c r="BK353" s="338"/>
      <c r="BL353" s="303"/>
      <c r="BM353" s="5"/>
      <c r="BN353" s="10"/>
      <c r="BO353" s="8"/>
      <c r="BP353" s="5"/>
      <c r="BQ353" s="10"/>
      <c r="BR353" s="29">
        <v>2000</v>
      </c>
      <c r="BS353" s="64">
        <v>1999</v>
      </c>
      <c r="BT353" s="14">
        <v>14</v>
      </c>
      <c r="BU353" s="10"/>
      <c r="BV353" s="8"/>
      <c r="BW353" s="10"/>
      <c r="BX353" s="10"/>
      <c r="BY353" s="10"/>
      <c r="BZ353" s="10"/>
      <c r="CA353" s="10"/>
      <c r="CB353" s="10"/>
      <c r="CC353" s="221"/>
      <c r="CD353" s="10"/>
      <c r="CE353" s="317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317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38">
        <f t="shared" si="165"/>
        <v>0</v>
      </c>
      <c r="DW353" s="14" t="str">
        <f t="shared" si="166"/>
        <v>PROB</v>
      </c>
    </row>
    <row r="354" spans="1:127" customFormat="1">
      <c r="A354" s="210">
        <v>36373</v>
      </c>
      <c r="B354" s="211"/>
      <c r="C354" s="8">
        <v>0</v>
      </c>
      <c r="D354" s="10">
        <v>14</v>
      </c>
      <c r="E354" s="10">
        <v>1</v>
      </c>
      <c r="F354" s="10">
        <v>2</v>
      </c>
      <c r="G354" s="10">
        <v>2</v>
      </c>
      <c r="H354" s="10">
        <v>0</v>
      </c>
      <c r="I354" s="10">
        <v>0</v>
      </c>
      <c r="J354" s="10">
        <v>2</v>
      </c>
      <c r="K354" s="10">
        <v>0</v>
      </c>
      <c r="L354" s="10">
        <v>0</v>
      </c>
      <c r="M354" s="10"/>
      <c r="N354" s="10"/>
      <c r="O354" s="10">
        <v>2</v>
      </c>
      <c r="P354" s="10">
        <v>0</v>
      </c>
      <c r="Q354" s="10">
        <v>0</v>
      </c>
      <c r="R354" s="10">
        <v>0</v>
      </c>
      <c r="S354" s="35">
        <f t="shared" si="163"/>
        <v>23</v>
      </c>
      <c r="T354" s="10">
        <v>0</v>
      </c>
      <c r="U354" s="59">
        <v>6</v>
      </c>
      <c r="V354" s="59"/>
      <c r="W354" s="10">
        <v>0</v>
      </c>
      <c r="X354" s="5">
        <v>0</v>
      </c>
      <c r="Y354" s="10"/>
      <c r="Z354" s="8">
        <v>1009149</v>
      </c>
      <c r="AA354" s="10">
        <v>358524</v>
      </c>
      <c r="AB354" s="10"/>
      <c r="AC354" s="61">
        <v>337596</v>
      </c>
      <c r="AD354" s="59">
        <v>717670</v>
      </c>
      <c r="AE354" s="35">
        <f t="shared" si="164"/>
        <v>1055266</v>
      </c>
      <c r="AF354" s="10"/>
      <c r="AG354" s="8">
        <v>51</v>
      </c>
      <c r="AH354" s="10">
        <v>47</v>
      </c>
      <c r="AI354" s="10">
        <v>114</v>
      </c>
      <c r="AJ354" s="5">
        <v>24</v>
      </c>
      <c r="AK354" s="10"/>
      <c r="AL354" s="8"/>
      <c r="AM354" s="10"/>
      <c r="AN354" s="35"/>
      <c r="AO354" s="10"/>
      <c r="AP354" s="10"/>
      <c r="AQ354" s="35"/>
      <c r="AR354" s="59"/>
      <c r="AS354" s="59"/>
      <c r="AT354" s="59"/>
      <c r="AU354" s="59"/>
      <c r="AV354" s="62"/>
      <c r="AW354" s="10"/>
      <c r="AX354" s="326"/>
      <c r="AY354" s="5"/>
      <c r="AZ354" s="10"/>
      <c r="BA354" s="8">
        <v>1674</v>
      </c>
      <c r="BB354" s="10">
        <v>27975763</v>
      </c>
      <c r="BC354" s="10"/>
      <c r="BD354" s="10"/>
      <c r="BE354" s="10">
        <v>47</v>
      </c>
      <c r="BF354" s="59">
        <v>8</v>
      </c>
      <c r="BG354" s="59">
        <v>1</v>
      </c>
      <c r="BH354" s="351"/>
      <c r="BI354" s="10">
        <v>1134174</v>
      </c>
      <c r="BJ354" s="338"/>
      <c r="BK354" s="338"/>
      <c r="BL354" s="303"/>
      <c r="BM354" s="5"/>
      <c r="BN354" s="10"/>
      <c r="BO354" s="8"/>
      <c r="BP354" s="5">
        <v>153</v>
      </c>
      <c r="BQ354" s="10"/>
      <c r="BR354" s="29">
        <v>2000</v>
      </c>
      <c r="BS354" s="64">
        <v>1999</v>
      </c>
      <c r="BT354" s="14">
        <v>15</v>
      </c>
      <c r="BU354" s="10"/>
      <c r="BV354" s="8"/>
      <c r="BW354" s="10"/>
      <c r="BX354" s="10"/>
      <c r="BY354" s="10"/>
      <c r="BZ354" s="10"/>
      <c r="CA354" s="10"/>
      <c r="CB354" s="10"/>
      <c r="CC354" s="221"/>
      <c r="CD354" s="10"/>
      <c r="CE354" s="317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317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38">
        <f t="shared" si="165"/>
        <v>0</v>
      </c>
      <c r="DW354" s="14" t="str">
        <f t="shared" si="166"/>
        <v>PROB</v>
      </c>
    </row>
    <row r="355" spans="1:127" customFormat="1">
      <c r="A355" s="210">
        <v>36387</v>
      </c>
      <c r="B355" s="211"/>
      <c r="C355" s="8">
        <v>3</v>
      </c>
      <c r="D355" s="10">
        <v>14</v>
      </c>
      <c r="E355" s="10">
        <v>1</v>
      </c>
      <c r="F355" s="10">
        <v>0</v>
      </c>
      <c r="G355" s="10">
        <v>1</v>
      </c>
      <c r="H355" s="10">
        <v>0</v>
      </c>
      <c r="I355" s="10">
        <v>0</v>
      </c>
      <c r="J355" s="10">
        <v>8</v>
      </c>
      <c r="K355" s="10">
        <v>0</v>
      </c>
      <c r="L355" s="10">
        <v>0</v>
      </c>
      <c r="M355" s="10"/>
      <c r="N355" s="10"/>
      <c r="O355" s="10">
        <v>3</v>
      </c>
      <c r="P355" s="10">
        <v>0</v>
      </c>
      <c r="Q355" s="10">
        <v>0</v>
      </c>
      <c r="R355" s="10">
        <v>0</v>
      </c>
      <c r="S355" s="35">
        <f t="shared" si="163"/>
        <v>30</v>
      </c>
      <c r="T355" s="10">
        <v>0</v>
      </c>
      <c r="U355" s="59">
        <v>3</v>
      </c>
      <c r="V355" s="59"/>
      <c r="W355" s="10">
        <v>0</v>
      </c>
      <c r="X355" s="5">
        <v>0</v>
      </c>
      <c r="Y355" s="10"/>
      <c r="Z355" s="8">
        <v>1006235</v>
      </c>
      <c r="AA355" s="10">
        <v>719868</v>
      </c>
      <c r="AB355" s="10"/>
      <c r="AC355" s="61">
        <v>601312</v>
      </c>
      <c r="AD355" s="59">
        <v>1007946</v>
      </c>
      <c r="AE355" s="35">
        <f t="shared" si="164"/>
        <v>1609258</v>
      </c>
      <c r="AF355" s="10"/>
      <c r="AG355" s="8">
        <v>46</v>
      </c>
      <c r="AH355" s="10">
        <v>49</v>
      </c>
      <c r="AI355" s="10">
        <v>108</v>
      </c>
      <c r="AJ355" s="5">
        <v>20</v>
      </c>
      <c r="AK355" s="10"/>
      <c r="AL355" s="8"/>
      <c r="AM355" s="10"/>
      <c r="AN355" s="35"/>
      <c r="AO355" s="10"/>
      <c r="AP355" s="10"/>
      <c r="AQ355" s="35"/>
      <c r="AR355" s="59"/>
      <c r="AS355" s="59"/>
      <c r="AT355" s="59"/>
      <c r="AU355" s="59"/>
      <c r="AV355" s="62"/>
      <c r="AW355" s="10"/>
      <c r="AX355" s="326"/>
      <c r="AY355" s="5"/>
      <c r="AZ355" s="10"/>
      <c r="BA355" s="8"/>
      <c r="BB355" s="10"/>
      <c r="BC355" s="10"/>
      <c r="BD355" s="10"/>
      <c r="BE355" s="10"/>
      <c r="BF355" s="10"/>
      <c r="BG355" s="10"/>
      <c r="BH355" s="30"/>
      <c r="BI355" s="10"/>
      <c r="BJ355" s="338"/>
      <c r="BK355" s="338"/>
      <c r="BL355" s="303"/>
      <c r="BM355" s="5"/>
      <c r="BN355" s="10"/>
      <c r="BO355" s="8"/>
      <c r="BP355" s="5"/>
      <c r="BQ355" s="10"/>
      <c r="BR355" s="29">
        <v>2000</v>
      </c>
      <c r="BS355" s="64">
        <v>1999</v>
      </c>
      <c r="BT355" s="14">
        <v>16</v>
      </c>
      <c r="BU355" s="10"/>
      <c r="BV355" s="8"/>
      <c r="BW355" s="10"/>
      <c r="BX355" s="10"/>
      <c r="BY355" s="10"/>
      <c r="BZ355" s="10"/>
      <c r="CA355" s="10"/>
      <c r="CB355" s="10"/>
      <c r="CC355" s="221"/>
      <c r="CD355" s="10"/>
      <c r="CE355" s="317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317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38">
        <f t="shared" si="165"/>
        <v>0</v>
      </c>
      <c r="DW355" s="14" t="str">
        <f t="shared" si="166"/>
        <v>PROB</v>
      </c>
    </row>
    <row r="356" spans="1:127" customFormat="1">
      <c r="A356" s="210">
        <v>36404</v>
      </c>
      <c r="B356" s="211"/>
      <c r="C356" s="8">
        <v>8</v>
      </c>
      <c r="D356" s="10">
        <v>32</v>
      </c>
      <c r="E356" s="10">
        <v>3</v>
      </c>
      <c r="F356" s="10">
        <v>0</v>
      </c>
      <c r="G356" s="10">
        <v>1</v>
      </c>
      <c r="H356" s="10">
        <v>0</v>
      </c>
      <c r="I356" s="10">
        <v>0</v>
      </c>
      <c r="J356" s="10">
        <v>3</v>
      </c>
      <c r="K356" s="10">
        <v>0</v>
      </c>
      <c r="L356" s="10">
        <v>0</v>
      </c>
      <c r="M356" s="10"/>
      <c r="N356" s="10"/>
      <c r="O356" s="10">
        <v>63</v>
      </c>
      <c r="P356" s="10">
        <v>0</v>
      </c>
      <c r="Q356" s="10">
        <v>0</v>
      </c>
      <c r="R356" s="10">
        <v>0</v>
      </c>
      <c r="S356" s="35">
        <f t="shared" si="163"/>
        <v>110</v>
      </c>
      <c r="T356" s="10">
        <v>0</v>
      </c>
      <c r="U356" s="59">
        <v>35</v>
      </c>
      <c r="V356" s="59"/>
      <c r="W356" s="10">
        <v>0</v>
      </c>
      <c r="X356" s="5">
        <v>0</v>
      </c>
      <c r="Y356" s="10"/>
      <c r="Z356" s="8">
        <v>1149190</v>
      </c>
      <c r="AA356" s="10">
        <v>1608246</v>
      </c>
      <c r="AB356" s="10"/>
      <c r="AC356" s="61">
        <v>2003306</v>
      </c>
      <c r="AD356" s="59">
        <v>2290139</v>
      </c>
      <c r="AE356" s="35">
        <f t="shared" si="164"/>
        <v>4293445</v>
      </c>
      <c r="AF356" s="10"/>
      <c r="AG356" s="8">
        <v>129</v>
      </c>
      <c r="AH356" s="10">
        <v>18</v>
      </c>
      <c r="AI356" s="10">
        <v>158</v>
      </c>
      <c r="AJ356" s="5">
        <v>40</v>
      </c>
      <c r="AK356" s="10"/>
      <c r="AL356" s="8"/>
      <c r="AM356" s="10"/>
      <c r="AN356" s="35"/>
      <c r="AO356" s="10"/>
      <c r="AP356" s="10"/>
      <c r="AQ356" s="35"/>
      <c r="AR356" s="59"/>
      <c r="AS356" s="59"/>
      <c r="AT356" s="59"/>
      <c r="AU356" s="59"/>
      <c r="AV356" s="62"/>
      <c r="AW356" s="10"/>
      <c r="AX356" s="326"/>
      <c r="AY356" s="5"/>
      <c r="AZ356" s="10"/>
      <c r="BA356" s="8">
        <v>1681</v>
      </c>
      <c r="BB356" s="10">
        <v>27967385</v>
      </c>
      <c r="BC356" s="10"/>
      <c r="BD356" s="10"/>
      <c r="BE356" s="10">
        <v>93</v>
      </c>
      <c r="BF356" s="10">
        <v>8</v>
      </c>
      <c r="BG356" s="59">
        <v>1</v>
      </c>
      <c r="BH356" s="351"/>
      <c r="BI356" s="10">
        <v>1910486</v>
      </c>
      <c r="BJ356" s="338"/>
      <c r="BK356" s="338"/>
      <c r="BL356" s="303"/>
      <c r="BM356" s="5"/>
      <c r="BN356" s="10"/>
      <c r="BO356" s="8"/>
      <c r="BP356" s="5">
        <v>155</v>
      </c>
      <c r="BQ356" s="10"/>
      <c r="BR356" s="68">
        <v>2000</v>
      </c>
      <c r="BS356" s="64">
        <v>1999</v>
      </c>
      <c r="BT356" s="14">
        <v>17</v>
      </c>
      <c r="BU356" s="10"/>
      <c r="BV356" s="8"/>
      <c r="BW356" s="10"/>
      <c r="BX356" s="10"/>
      <c r="BY356" s="10"/>
      <c r="BZ356" s="10"/>
      <c r="CA356" s="10"/>
      <c r="CB356" s="10"/>
      <c r="CC356" s="221"/>
      <c r="CD356" s="10"/>
      <c r="CE356" s="317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317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38">
        <f t="shared" si="165"/>
        <v>0</v>
      </c>
      <c r="DW356" s="14" t="str">
        <f t="shared" si="166"/>
        <v>PROB</v>
      </c>
    </row>
    <row r="357" spans="1:127" customFormat="1">
      <c r="A357" s="210">
        <v>36418</v>
      </c>
      <c r="B357" s="211"/>
      <c r="C357" s="8">
        <v>0</v>
      </c>
      <c r="D357" s="10">
        <v>20</v>
      </c>
      <c r="E357" s="10">
        <v>0</v>
      </c>
      <c r="F357" s="10">
        <v>0</v>
      </c>
      <c r="G357" s="10">
        <v>1</v>
      </c>
      <c r="H357" s="10">
        <v>1</v>
      </c>
      <c r="I357" s="10">
        <v>0</v>
      </c>
      <c r="J357" s="10">
        <v>3</v>
      </c>
      <c r="K357" s="10">
        <v>0</v>
      </c>
      <c r="L357" s="10">
        <v>0</v>
      </c>
      <c r="M357" s="10"/>
      <c r="N357" s="10"/>
      <c r="O357" s="10">
        <v>3</v>
      </c>
      <c r="P357" s="10">
        <v>0</v>
      </c>
      <c r="Q357" s="10">
        <v>0</v>
      </c>
      <c r="R357" s="10">
        <v>0</v>
      </c>
      <c r="S357" s="35">
        <f t="shared" si="163"/>
        <v>28</v>
      </c>
      <c r="T357" s="10">
        <v>0</v>
      </c>
      <c r="U357" s="59">
        <v>2</v>
      </c>
      <c r="V357" s="59"/>
      <c r="W357" s="10">
        <v>0</v>
      </c>
      <c r="X357" s="5">
        <v>0</v>
      </c>
      <c r="Y357" s="10"/>
      <c r="Z357" s="8">
        <v>1188110</v>
      </c>
      <c r="AA357" s="10">
        <v>346146</v>
      </c>
      <c r="AB357" s="10"/>
      <c r="AC357" s="61">
        <v>306797</v>
      </c>
      <c r="AD357" s="59">
        <v>880214</v>
      </c>
      <c r="AE357" s="35">
        <f t="shared" si="164"/>
        <v>1187011</v>
      </c>
      <c r="AF357" s="10"/>
      <c r="AG357" s="8">
        <v>52</v>
      </c>
      <c r="AH357" s="10">
        <v>53</v>
      </c>
      <c r="AI357" s="10">
        <v>126</v>
      </c>
      <c r="AJ357" s="5">
        <v>24</v>
      </c>
      <c r="AK357" s="10"/>
      <c r="AL357" s="8"/>
      <c r="AM357" s="10"/>
      <c r="AN357" s="35"/>
      <c r="AO357" s="10"/>
      <c r="AP357" s="10"/>
      <c r="AQ357" s="35"/>
      <c r="AR357" s="59"/>
      <c r="AS357" s="59"/>
      <c r="AT357" s="59"/>
      <c r="AU357" s="59"/>
      <c r="AV357" s="62"/>
      <c r="AW357" s="10"/>
      <c r="AX357" s="326"/>
      <c r="AY357" s="5"/>
      <c r="AZ357" s="10"/>
      <c r="BA357" s="8"/>
      <c r="BB357" s="10"/>
      <c r="BC357" s="10"/>
      <c r="BD357" s="10"/>
      <c r="BE357" s="10"/>
      <c r="BF357" s="10"/>
      <c r="BG357" s="10"/>
      <c r="BH357" s="30"/>
      <c r="BI357" s="10"/>
      <c r="BJ357" s="338"/>
      <c r="BK357" s="338"/>
      <c r="BL357" s="303"/>
      <c r="BM357" s="5"/>
      <c r="BN357" s="10"/>
      <c r="BO357" s="8"/>
      <c r="BP357" s="5"/>
      <c r="BQ357" s="10"/>
      <c r="BR357" s="29">
        <v>2000</v>
      </c>
      <c r="BS357" s="64">
        <v>1999</v>
      </c>
      <c r="BT357" s="14">
        <v>18</v>
      </c>
      <c r="BU357" s="10"/>
      <c r="BV357" s="8"/>
      <c r="BW357" s="10"/>
      <c r="BX357" s="10"/>
      <c r="BY357" s="10"/>
      <c r="BZ357" s="10"/>
      <c r="CA357" s="10"/>
      <c r="CB357" s="10"/>
      <c r="CC357" s="221"/>
      <c r="CD357" s="10"/>
      <c r="CE357" s="317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317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38">
        <f t="shared" si="165"/>
        <v>0</v>
      </c>
      <c r="DW357" s="14" t="str">
        <f t="shared" si="166"/>
        <v>PROB</v>
      </c>
    </row>
    <row r="358" spans="1:127" customFormat="1">
      <c r="A358" s="210">
        <v>36434</v>
      </c>
      <c r="B358" s="211"/>
      <c r="C358" s="8">
        <v>1</v>
      </c>
      <c r="D358" s="59">
        <v>20</v>
      </c>
      <c r="E358" s="59">
        <v>3</v>
      </c>
      <c r="F358" s="59">
        <v>0</v>
      </c>
      <c r="G358" s="59">
        <v>0</v>
      </c>
      <c r="H358" s="59">
        <v>0</v>
      </c>
      <c r="I358" s="59">
        <v>0</v>
      </c>
      <c r="J358" s="59">
        <v>4</v>
      </c>
      <c r="K358" s="59">
        <v>0</v>
      </c>
      <c r="L358" s="59">
        <v>0</v>
      </c>
      <c r="M358" s="59"/>
      <c r="N358" s="59"/>
      <c r="O358" s="59">
        <v>3</v>
      </c>
      <c r="P358" s="59">
        <v>0</v>
      </c>
      <c r="Q358" s="59">
        <v>0</v>
      </c>
      <c r="R358" s="59">
        <v>0</v>
      </c>
      <c r="S358" s="35">
        <f t="shared" si="163"/>
        <v>31</v>
      </c>
      <c r="T358" s="59">
        <v>0</v>
      </c>
      <c r="U358" s="59">
        <v>7</v>
      </c>
      <c r="V358" s="59"/>
      <c r="W358" s="10">
        <v>0</v>
      </c>
      <c r="X358" s="5">
        <v>0</v>
      </c>
      <c r="Y358" s="10"/>
      <c r="Z358" s="61">
        <v>1427139</v>
      </c>
      <c r="AA358" s="59">
        <v>598241</v>
      </c>
      <c r="AB358" s="59"/>
      <c r="AC358" s="61">
        <v>525918</v>
      </c>
      <c r="AD358" s="59">
        <v>749781</v>
      </c>
      <c r="AE358" s="35">
        <f t="shared" si="164"/>
        <v>1275699</v>
      </c>
      <c r="AF358" s="10"/>
      <c r="AG358" s="8">
        <v>85</v>
      </c>
      <c r="AH358" s="59">
        <v>56</v>
      </c>
      <c r="AI358" s="59">
        <v>162</v>
      </c>
      <c r="AJ358" s="5">
        <v>24</v>
      </c>
      <c r="AK358" s="10"/>
      <c r="AL358" s="61">
        <v>36</v>
      </c>
      <c r="AM358" s="59">
        <v>91</v>
      </c>
      <c r="AN358" s="35">
        <f>SUM(AL358:AM358)</f>
        <v>127</v>
      </c>
      <c r="AO358" s="59">
        <v>91</v>
      </c>
      <c r="AP358" s="59">
        <v>12</v>
      </c>
      <c r="AQ358" s="35">
        <v>103</v>
      </c>
      <c r="AR358" s="59"/>
      <c r="AS358" s="59"/>
      <c r="AT358" s="59"/>
      <c r="AU358" s="59"/>
      <c r="AV358" s="62"/>
      <c r="AW358" s="10"/>
      <c r="AX358" s="326"/>
      <c r="AY358" s="5"/>
      <c r="AZ358" s="10"/>
      <c r="BA358" s="8">
        <v>1683</v>
      </c>
      <c r="BB358" s="10">
        <v>27962938</v>
      </c>
      <c r="BC358" s="10"/>
      <c r="BD358" s="10"/>
      <c r="BE358" s="59">
        <v>45</v>
      </c>
      <c r="BF358" s="59">
        <v>3</v>
      </c>
      <c r="BG358" s="59">
        <v>1</v>
      </c>
      <c r="BH358" s="351"/>
      <c r="BI358" s="59">
        <v>1553697</v>
      </c>
      <c r="BJ358" s="342"/>
      <c r="BK358" s="342"/>
      <c r="BL358" s="307"/>
      <c r="BM358" s="5"/>
      <c r="BN358" s="10"/>
      <c r="BO358" s="8"/>
      <c r="BP358" s="5">
        <v>155</v>
      </c>
      <c r="BQ358" s="10"/>
      <c r="BR358" s="29">
        <v>2000</v>
      </c>
      <c r="BS358" s="64">
        <v>1999</v>
      </c>
      <c r="BT358" s="14">
        <v>19</v>
      </c>
      <c r="BU358" s="10"/>
      <c r="BV358" s="8"/>
      <c r="BW358" s="10"/>
      <c r="BX358" s="10"/>
      <c r="BY358" s="10"/>
      <c r="BZ358" s="10"/>
      <c r="CA358" s="10"/>
      <c r="CB358" s="10"/>
      <c r="CC358" s="221"/>
      <c r="CD358" s="10"/>
      <c r="CE358" s="317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317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38">
        <f t="shared" si="165"/>
        <v>0</v>
      </c>
      <c r="DW358" s="14" t="str">
        <f t="shared" si="166"/>
        <v>PROB</v>
      </c>
    </row>
    <row r="359" spans="1:127" customFormat="1">
      <c r="A359" s="210">
        <v>36448</v>
      </c>
      <c r="B359" s="211"/>
      <c r="C359" s="8">
        <v>7</v>
      </c>
      <c r="D359" s="59">
        <v>10</v>
      </c>
      <c r="E359" s="59">
        <v>0</v>
      </c>
      <c r="F359" s="59">
        <v>1</v>
      </c>
      <c r="G359" s="59">
        <v>3</v>
      </c>
      <c r="H359" s="59">
        <v>0</v>
      </c>
      <c r="I359" s="59">
        <v>0</v>
      </c>
      <c r="J359" s="59">
        <v>11</v>
      </c>
      <c r="K359" s="59">
        <v>0</v>
      </c>
      <c r="L359" s="59">
        <v>0</v>
      </c>
      <c r="M359" s="59"/>
      <c r="N359" s="59"/>
      <c r="O359" s="59">
        <v>2</v>
      </c>
      <c r="P359" s="59">
        <v>0</v>
      </c>
      <c r="Q359" s="59">
        <v>0</v>
      </c>
      <c r="R359" s="59">
        <v>0</v>
      </c>
      <c r="S359" s="35">
        <f t="shared" si="163"/>
        <v>34</v>
      </c>
      <c r="T359" s="59">
        <v>0</v>
      </c>
      <c r="U359" s="59">
        <v>6</v>
      </c>
      <c r="V359" s="59"/>
      <c r="W359" s="10">
        <v>0</v>
      </c>
      <c r="X359" s="5">
        <v>0</v>
      </c>
      <c r="Y359" s="10"/>
      <c r="Z359" s="61">
        <v>1269485</v>
      </c>
      <c r="AA359" s="59">
        <v>576721</v>
      </c>
      <c r="AB359" s="59"/>
      <c r="AC359" s="61">
        <v>426969</v>
      </c>
      <c r="AD359" s="59">
        <v>883169</v>
      </c>
      <c r="AE359" s="35">
        <f t="shared" si="164"/>
        <v>1310138</v>
      </c>
      <c r="AF359" s="10"/>
      <c r="AG359" s="8">
        <v>57</v>
      </c>
      <c r="AH359" s="59">
        <v>62</v>
      </c>
      <c r="AI359" s="59">
        <v>130</v>
      </c>
      <c r="AJ359" s="5">
        <v>24</v>
      </c>
      <c r="AK359" s="10"/>
      <c r="AL359" s="8"/>
      <c r="AM359" s="10"/>
      <c r="AN359" s="35"/>
      <c r="AO359" s="10"/>
      <c r="AP359" s="10"/>
      <c r="AQ359" s="35"/>
      <c r="AR359" s="59"/>
      <c r="AS359" s="59"/>
      <c r="AT359" s="59"/>
      <c r="AU359" s="59"/>
      <c r="AV359" s="62"/>
      <c r="AW359" s="10"/>
      <c r="AX359" s="326"/>
      <c r="AY359" s="5"/>
      <c r="AZ359" s="10"/>
      <c r="BA359" s="8"/>
      <c r="BB359" s="10"/>
      <c r="BC359" s="10"/>
      <c r="BD359" s="10"/>
      <c r="BE359" s="10"/>
      <c r="BF359" s="10"/>
      <c r="BG359" s="10"/>
      <c r="BH359" s="30"/>
      <c r="BI359" s="10"/>
      <c r="BJ359" s="338"/>
      <c r="BK359" s="338"/>
      <c r="BL359" s="303"/>
      <c r="BM359" s="5"/>
      <c r="BN359" s="10"/>
      <c r="BO359" s="8"/>
      <c r="BP359" s="5"/>
      <c r="BQ359" s="10"/>
      <c r="BR359" s="29">
        <v>2000</v>
      </c>
      <c r="BS359" s="64">
        <v>1999</v>
      </c>
      <c r="BT359" s="14">
        <v>20</v>
      </c>
      <c r="BU359" s="10"/>
      <c r="BV359" s="8"/>
      <c r="BW359" s="10"/>
      <c r="BX359" s="10"/>
      <c r="BY359" s="10"/>
      <c r="BZ359" s="10"/>
      <c r="CA359" s="10"/>
      <c r="CB359" s="10"/>
      <c r="CC359" s="221"/>
      <c r="CD359" s="10"/>
      <c r="CE359" s="317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317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38">
        <f t="shared" si="165"/>
        <v>0</v>
      </c>
      <c r="DW359" s="14" t="str">
        <f t="shared" si="166"/>
        <v>PROB</v>
      </c>
    </row>
    <row r="360" spans="1:127" customFormat="1">
      <c r="A360" s="210">
        <v>36465</v>
      </c>
      <c r="B360" s="211"/>
      <c r="C360" s="8">
        <v>2</v>
      </c>
      <c r="D360" s="59">
        <v>22</v>
      </c>
      <c r="E360" s="59">
        <v>0</v>
      </c>
      <c r="F360" s="59">
        <v>1</v>
      </c>
      <c r="G360" s="59">
        <v>1</v>
      </c>
      <c r="H360" s="59">
        <v>0</v>
      </c>
      <c r="I360" s="59">
        <v>0</v>
      </c>
      <c r="J360" s="59">
        <v>12</v>
      </c>
      <c r="K360" s="59">
        <v>0</v>
      </c>
      <c r="L360" s="59">
        <v>0</v>
      </c>
      <c r="M360" s="59"/>
      <c r="N360" s="59"/>
      <c r="O360" s="59">
        <v>8</v>
      </c>
      <c r="P360" s="59">
        <v>2</v>
      </c>
      <c r="Q360" s="59">
        <v>0</v>
      </c>
      <c r="R360" s="59">
        <v>0</v>
      </c>
      <c r="S360" s="35">
        <f t="shared" si="163"/>
        <v>48</v>
      </c>
      <c r="T360" s="59">
        <v>0</v>
      </c>
      <c r="U360" s="59">
        <v>11</v>
      </c>
      <c r="V360" s="59"/>
      <c r="W360" s="10">
        <v>0</v>
      </c>
      <c r="X360" s="5">
        <v>1</v>
      </c>
      <c r="Y360" s="10"/>
      <c r="Z360" s="61">
        <v>1534551</v>
      </c>
      <c r="AA360" s="59">
        <v>643880</v>
      </c>
      <c r="AB360" s="59"/>
      <c r="AC360" s="61">
        <v>471307</v>
      </c>
      <c r="AD360" s="59">
        <v>1537241</v>
      </c>
      <c r="AE360" s="35">
        <f t="shared" si="164"/>
        <v>2008548</v>
      </c>
      <c r="AF360" s="10"/>
      <c r="AG360" s="8">
        <v>68</v>
      </c>
      <c r="AH360" s="59">
        <v>78</v>
      </c>
      <c r="AI360" s="59">
        <v>162</v>
      </c>
      <c r="AJ360" s="5">
        <v>32</v>
      </c>
      <c r="AK360" s="10"/>
      <c r="AL360" s="8"/>
      <c r="AM360" s="10"/>
      <c r="AN360" s="35"/>
      <c r="AO360" s="10"/>
      <c r="AP360" s="10"/>
      <c r="AQ360" s="35"/>
      <c r="AR360" s="59"/>
      <c r="AS360" s="59"/>
      <c r="AT360" s="59"/>
      <c r="AU360" s="59"/>
      <c r="AV360" s="62"/>
      <c r="AW360" s="10"/>
      <c r="AX360" s="326"/>
      <c r="AY360" s="5"/>
      <c r="AZ360" s="10"/>
      <c r="BA360" s="8">
        <v>1686</v>
      </c>
      <c r="BB360" s="10">
        <v>27998885</v>
      </c>
      <c r="BC360" s="10"/>
      <c r="BD360" s="10"/>
      <c r="BE360" s="10">
        <v>64</v>
      </c>
      <c r="BF360" s="59">
        <v>7</v>
      </c>
      <c r="BG360" s="59">
        <v>3</v>
      </c>
      <c r="BH360" s="351"/>
      <c r="BI360" s="10">
        <v>1280621</v>
      </c>
      <c r="BJ360" s="338"/>
      <c r="BK360" s="338"/>
      <c r="BL360" s="303"/>
      <c r="BM360" s="5"/>
      <c r="BN360" s="10"/>
      <c r="BO360" s="8"/>
      <c r="BP360" s="5">
        <v>155</v>
      </c>
      <c r="BQ360" s="10"/>
      <c r="BR360" s="29">
        <v>2000</v>
      </c>
      <c r="BS360" s="64">
        <v>1999</v>
      </c>
      <c r="BT360" s="14">
        <v>21</v>
      </c>
      <c r="BU360" s="10"/>
      <c r="BV360" s="8"/>
      <c r="BW360" s="10"/>
      <c r="BX360" s="10"/>
      <c r="BY360" s="10"/>
      <c r="BZ360" s="10"/>
      <c r="CA360" s="10"/>
      <c r="CB360" s="10"/>
      <c r="CC360" s="221"/>
      <c r="CD360" s="10"/>
      <c r="CE360" s="317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317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38">
        <f t="shared" si="165"/>
        <v>0</v>
      </c>
      <c r="DW360" s="14" t="str">
        <f t="shared" si="166"/>
        <v>PROB</v>
      </c>
    </row>
    <row r="361" spans="1:127" customFormat="1">
      <c r="A361" s="210">
        <v>36479</v>
      </c>
      <c r="B361" s="211"/>
      <c r="C361" s="8">
        <v>1</v>
      </c>
      <c r="D361" s="59">
        <v>7</v>
      </c>
      <c r="E361" s="59">
        <v>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0</v>
      </c>
      <c r="M361" s="59"/>
      <c r="N361" s="59"/>
      <c r="O361" s="59">
        <v>6</v>
      </c>
      <c r="P361" s="59">
        <v>0</v>
      </c>
      <c r="Q361" s="59">
        <v>0</v>
      </c>
      <c r="R361" s="59">
        <v>0</v>
      </c>
      <c r="S361" s="35">
        <f t="shared" si="163"/>
        <v>16</v>
      </c>
      <c r="T361" s="59">
        <v>2</v>
      </c>
      <c r="U361" s="59">
        <v>3</v>
      </c>
      <c r="V361" s="59"/>
      <c r="W361" s="10">
        <v>0</v>
      </c>
      <c r="X361" s="5">
        <v>0</v>
      </c>
      <c r="Y361" s="10"/>
      <c r="Z361" s="61">
        <v>1198137</v>
      </c>
      <c r="AA361" s="59">
        <v>364131</v>
      </c>
      <c r="AB361" s="59"/>
      <c r="AC361" s="61">
        <v>364131</v>
      </c>
      <c r="AD361" s="59">
        <v>483887</v>
      </c>
      <c r="AE361" s="35">
        <f t="shared" si="164"/>
        <v>848018</v>
      </c>
      <c r="AF361" s="10"/>
      <c r="AG361" s="8">
        <v>20</v>
      </c>
      <c r="AH361" s="59">
        <v>79</v>
      </c>
      <c r="AI361" s="59">
        <v>110</v>
      </c>
      <c r="AJ361" s="5">
        <v>16</v>
      </c>
      <c r="AK361" s="10"/>
      <c r="AL361" s="8"/>
      <c r="AM361" s="10"/>
      <c r="AN361" s="35"/>
      <c r="AO361" s="10"/>
      <c r="AP361" s="10"/>
      <c r="AQ361" s="35"/>
      <c r="AR361" s="59"/>
      <c r="AS361" s="59"/>
      <c r="AT361" s="59"/>
      <c r="AU361" s="59"/>
      <c r="AV361" s="62"/>
      <c r="AW361" s="10"/>
      <c r="AX361" s="326"/>
      <c r="AY361" s="5"/>
      <c r="AZ361" s="10"/>
      <c r="BA361" s="8"/>
      <c r="BB361" s="10"/>
      <c r="BC361" s="10"/>
      <c r="BD361" s="10"/>
      <c r="BE361" s="10"/>
      <c r="BF361" s="10"/>
      <c r="BG361" s="10"/>
      <c r="BH361" s="30"/>
      <c r="BI361" s="10"/>
      <c r="BJ361" s="338"/>
      <c r="BK361" s="338"/>
      <c r="BL361" s="303"/>
      <c r="BM361" s="5"/>
      <c r="BN361" s="10"/>
      <c r="BO361" s="8"/>
      <c r="BP361" s="5"/>
      <c r="BQ361" s="10"/>
      <c r="BR361" s="29">
        <v>2000</v>
      </c>
      <c r="BS361" s="64">
        <v>1999</v>
      </c>
      <c r="BT361" s="14">
        <v>22</v>
      </c>
      <c r="BU361" s="10"/>
      <c r="BV361" s="8"/>
      <c r="BW361" s="10"/>
      <c r="BX361" s="10"/>
      <c r="BY361" s="10"/>
      <c r="BZ361" s="10"/>
      <c r="CA361" s="10"/>
      <c r="CB361" s="10"/>
      <c r="CC361" s="221"/>
      <c r="CD361" s="10"/>
      <c r="CE361" s="317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317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38">
        <f t="shared" si="165"/>
        <v>0</v>
      </c>
      <c r="DW361" s="14" t="str">
        <f t="shared" si="166"/>
        <v>PROB</v>
      </c>
    </row>
    <row r="362" spans="1:127" customFormat="1">
      <c r="A362" s="210">
        <v>36495</v>
      </c>
      <c r="B362" s="211"/>
      <c r="C362" s="8">
        <v>2</v>
      </c>
      <c r="D362" s="59">
        <v>7</v>
      </c>
      <c r="E362" s="59">
        <v>14</v>
      </c>
      <c r="F362" s="59">
        <v>0</v>
      </c>
      <c r="G362" s="59">
        <v>0</v>
      </c>
      <c r="H362" s="59">
        <v>1</v>
      </c>
      <c r="I362" s="59">
        <v>0</v>
      </c>
      <c r="J362" s="59">
        <v>3</v>
      </c>
      <c r="K362" s="59">
        <v>0</v>
      </c>
      <c r="L362" s="59">
        <v>0</v>
      </c>
      <c r="M362" s="59"/>
      <c r="N362" s="59"/>
      <c r="O362" s="59">
        <v>0</v>
      </c>
      <c r="P362" s="59">
        <v>0</v>
      </c>
      <c r="Q362" s="59">
        <v>0</v>
      </c>
      <c r="R362" s="59">
        <v>0</v>
      </c>
      <c r="S362" s="35">
        <f t="shared" si="163"/>
        <v>27</v>
      </c>
      <c r="T362" s="59">
        <v>0</v>
      </c>
      <c r="U362" s="59">
        <v>5</v>
      </c>
      <c r="V362" s="59"/>
      <c r="W362" s="10">
        <v>0</v>
      </c>
      <c r="X362" s="5">
        <v>1</v>
      </c>
      <c r="Y362" s="10"/>
      <c r="Z362" s="61">
        <v>1252252</v>
      </c>
      <c r="AA362" s="59">
        <v>771161</v>
      </c>
      <c r="AB362" s="59"/>
      <c r="AC362" s="61">
        <v>726212</v>
      </c>
      <c r="AD362" s="59">
        <v>768066</v>
      </c>
      <c r="AE362" s="35">
        <f t="shared" si="164"/>
        <v>1494278</v>
      </c>
      <c r="AF362" s="10"/>
      <c r="AG362" s="8">
        <v>101</v>
      </c>
      <c r="AH362" s="59">
        <v>26</v>
      </c>
      <c r="AI362" s="59">
        <v>146</v>
      </c>
      <c r="AJ362" s="5">
        <v>24</v>
      </c>
      <c r="AK362" s="10"/>
      <c r="AL362" s="8"/>
      <c r="AM362" s="10"/>
      <c r="AN362" s="35"/>
      <c r="AO362" s="10"/>
      <c r="AP362" s="10"/>
      <c r="AQ362" s="35"/>
      <c r="AR362" s="59"/>
      <c r="AS362" s="59"/>
      <c r="AT362" s="59"/>
      <c r="AU362" s="59"/>
      <c r="AV362" s="62"/>
      <c r="AW362" s="10"/>
      <c r="AX362" s="326"/>
      <c r="AY362" s="5"/>
      <c r="AZ362" s="10"/>
      <c r="BA362" s="8">
        <v>1689</v>
      </c>
      <c r="BB362" s="10">
        <v>27962949</v>
      </c>
      <c r="BC362" s="10"/>
      <c r="BD362" s="10"/>
      <c r="BE362" s="10">
        <v>37</v>
      </c>
      <c r="BF362" s="10">
        <v>6</v>
      </c>
      <c r="BG362" s="59">
        <v>3</v>
      </c>
      <c r="BH362" s="351"/>
      <c r="BI362" s="59">
        <v>1418476</v>
      </c>
      <c r="BJ362" s="342"/>
      <c r="BK362" s="342"/>
      <c r="BL362" s="307"/>
      <c r="BM362" s="5"/>
      <c r="BN362" s="10"/>
      <c r="BO362" s="8"/>
      <c r="BP362" s="5">
        <v>156</v>
      </c>
      <c r="BQ362" s="10"/>
      <c r="BR362" s="29">
        <v>2000</v>
      </c>
      <c r="BS362" s="64">
        <v>1999</v>
      </c>
      <c r="BT362" s="14">
        <v>23</v>
      </c>
      <c r="BU362" s="10"/>
      <c r="BV362" s="8"/>
      <c r="BW362" s="10"/>
      <c r="BX362" s="10"/>
      <c r="BY362" s="10"/>
      <c r="BZ362" s="10"/>
      <c r="CA362" s="10"/>
      <c r="CB362" s="10"/>
      <c r="CC362" s="221"/>
      <c r="CD362" s="10"/>
      <c r="CE362" s="317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317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38">
        <f t="shared" si="165"/>
        <v>0</v>
      </c>
      <c r="DW362" s="14" t="str">
        <f t="shared" si="166"/>
        <v>PROB</v>
      </c>
    </row>
    <row r="363" spans="1:127" customFormat="1">
      <c r="A363" s="210">
        <v>36509</v>
      </c>
      <c r="B363" s="211"/>
      <c r="C363" s="8">
        <v>1</v>
      </c>
      <c r="D363" s="59">
        <v>7</v>
      </c>
      <c r="E363" s="59">
        <v>0</v>
      </c>
      <c r="F363" s="59">
        <v>0</v>
      </c>
      <c r="G363" s="59">
        <v>3</v>
      </c>
      <c r="H363" s="59">
        <v>0</v>
      </c>
      <c r="I363" s="59">
        <v>0</v>
      </c>
      <c r="J363" s="59">
        <v>1</v>
      </c>
      <c r="K363" s="59">
        <v>1</v>
      </c>
      <c r="L363" s="59">
        <v>0</v>
      </c>
      <c r="M363" s="59"/>
      <c r="N363" s="59"/>
      <c r="O363" s="59">
        <v>5</v>
      </c>
      <c r="P363" s="59">
        <v>0</v>
      </c>
      <c r="Q363" s="59">
        <v>0</v>
      </c>
      <c r="R363" s="59">
        <v>0</v>
      </c>
      <c r="S363" s="35">
        <f t="shared" si="163"/>
        <v>18</v>
      </c>
      <c r="T363" s="59">
        <v>0</v>
      </c>
      <c r="U363" s="59">
        <v>3</v>
      </c>
      <c r="V363" s="59"/>
      <c r="W363" s="10">
        <v>0</v>
      </c>
      <c r="X363" s="5">
        <v>0</v>
      </c>
      <c r="Y363" s="10"/>
      <c r="Z363" s="61">
        <v>1491557</v>
      </c>
      <c r="AA363" s="59">
        <v>455591</v>
      </c>
      <c r="AB363" s="59"/>
      <c r="AC363" s="61">
        <v>438528</v>
      </c>
      <c r="AD363" s="59">
        <v>773460</v>
      </c>
      <c r="AE363" s="35">
        <f t="shared" si="164"/>
        <v>1211988</v>
      </c>
      <c r="AF363" s="10"/>
      <c r="AG363" s="8">
        <v>48</v>
      </c>
      <c r="AH363" s="59">
        <v>82</v>
      </c>
      <c r="AI363" s="59">
        <v>148</v>
      </c>
      <c r="AJ363" s="5">
        <v>24</v>
      </c>
      <c r="AK363" s="10"/>
      <c r="AL363" s="8"/>
      <c r="AM363" s="10"/>
      <c r="AN363" s="35"/>
      <c r="AO363" s="10"/>
      <c r="AP363" s="10"/>
      <c r="AQ363" s="35"/>
      <c r="AR363" s="59"/>
      <c r="AS363" s="59"/>
      <c r="AT363" s="59"/>
      <c r="AU363" s="59"/>
      <c r="AV363" s="62"/>
      <c r="AW363" s="10"/>
      <c r="AX363" s="326"/>
      <c r="AY363" s="5"/>
      <c r="AZ363" s="10"/>
      <c r="BA363" s="8"/>
      <c r="BB363" s="10"/>
      <c r="BC363" s="10"/>
      <c r="BD363" s="10"/>
      <c r="BE363" s="10"/>
      <c r="BF363" s="10"/>
      <c r="BG363" s="10"/>
      <c r="BH363" s="30"/>
      <c r="BI363" s="10"/>
      <c r="BJ363" s="338"/>
      <c r="BK363" s="338"/>
      <c r="BL363" s="303"/>
      <c r="BM363" s="5"/>
      <c r="BN363" s="10"/>
      <c r="BO363" s="8"/>
      <c r="BP363" s="5"/>
      <c r="BQ363" s="10"/>
      <c r="BR363" s="29">
        <v>2000</v>
      </c>
      <c r="BS363" s="64">
        <v>1999</v>
      </c>
      <c r="BT363" s="14">
        <v>24</v>
      </c>
      <c r="BU363" s="10"/>
      <c r="BV363" s="8"/>
      <c r="BW363" s="10"/>
      <c r="BX363" s="10"/>
      <c r="BY363" s="10"/>
      <c r="BZ363" s="10"/>
      <c r="CA363" s="10"/>
      <c r="CB363" s="10"/>
      <c r="CC363" s="221"/>
      <c r="CD363" s="10"/>
      <c r="CE363" s="317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317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38">
        <f t="shared" si="165"/>
        <v>0</v>
      </c>
      <c r="DW363" s="14" t="str">
        <f t="shared" si="166"/>
        <v>PROB</v>
      </c>
    </row>
    <row r="364" spans="1:127" customFormat="1">
      <c r="A364" s="210">
        <v>36526</v>
      </c>
      <c r="B364" s="211"/>
      <c r="C364" s="8">
        <v>2</v>
      </c>
      <c r="D364" s="59">
        <v>16</v>
      </c>
      <c r="E364" s="59">
        <v>2</v>
      </c>
      <c r="F364" s="59">
        <v>0</v>
      </c>
      <c r="G364" s="59">
        <v>2</v>
      </c>
      <c r="H364" s="59">
        <v>1</v>
      </c>
      <c r="I364" s="59">
        <v>0</v>
      </c>
      <c r="J364" s="59">
        <v>4</v>
      </c>
      <c r="K364" s="59">
        <v>0</v>
      </c>
      <c r="L364" s="59">
        <v>0</v>
      </c>
      <c r="M364" s="59"/>
      <c r="N364" s="59"/>
      <c r="O364" s="59">
        <v>18</v>
      </c>
      <c r="P364" s="59">
        <v>2</v>
      </c>
      <c r="Q364" s="59">
        <v>0</v>
      </c>
      <c r="R364" s="59">
        <v>0</v>
      </c>
      <c r="S364" s="35">
        <f t="shared" si="163"/>
        <v>47</v>
      </c>
      <c r="T364" s="59">
        <v>0</v>
      </c>
      <c r="U364" s="59">
        <v>3</v>
      </c>
      <c r="V364" s="59"/>
      <c r="W364" s="10">
        <v>0</v>
      </c>
      <c r="X364" s="5">
        <v>1</v>
      </c>
      <c r="Y364" s="10"/>
      <c r="Z364" s="61">
        <v>1643570</v>
      </c>
      <c r="AA364" s="59">
        <v>1111265</v>
      </c>
      <c r="AB364" s="59"/>
      <c r="AC364" s="61">
        <v>1078716</v>
      </c>
      <c r="AD364" s="59">
        <v>1327196</v>
      </c>
      <c r="AE364" s="35">
        <f t="shared" si="164"/>
        <v>2405912</v>
      </c>
      <c r="AF364" s="10"/>
      <c r="AG364" s="8">
        <v>70</v>
      </c>
      <c r="AH364" s="59">
        <v>86</v>
      </c>
      <c r="AI364" s="59">
        <v>170</v>
      </c>
      <c r="AJ364" s="5">
        <v>28</v>
      </c>
      <c r="AK364" s="10"/>
      <c r="AL364" s="8">
        <v>36</v>
      </c>
      <c r="AM364" s="59">
        <v>96</v>
      </c>
      <c r="AN364" s="35">
        <f>SUM(AL364:AM364)</f>
        <v>132</v>
      </c>
      <c r="AO364" s="59">
        <v>91</v>
      </c>
      <c r="AP364" s="59">
        <v>13</v>
      </c>
      <c r="AQ364" s="35">
        <f>SUM(AO364:AP364)</f>
        <v>104</v>
      </c>
      <c r="AR364" s="59"/>
      <c r="AS364" s="59"/>
      <c r="AT364" s="59"/>
      <c r="AU364" s="59"/>
      <c r="AV364" s="62"/>
      <c r="AW364" s="10"/>
      <c r="AX364" s="326"/>
      <c r="AY364" s="5"/>
      <c r="AZ364" s="10"/>
      <c r="BA364" s="8">
        <v>1691</v>
      </c>
      <c r="BB364" s="10">
        <v>27957041</v>
      </c>
      <c r="BC364" s="10"/>
      <c r="BD364" s="10"/>
      <c r="BE364" s="10">
        <v>50</v>
      </c>
      <c r="BF364" s="59">
        <v>3</v>
      </c>
      <c r="BG364" s="59">
        <v>1</v>
      </c>
      <c r="BH364" s="351"/>
      <c r="BI364" s="59">
        <v>1456213</v>
      </c>
      <c r="BJ364" s="342"/>
      <c r="BK364" s="342"/>
      <c r="BL364" s="307"/>
      <c r="BM364" s="5">
        <f>326+515+811+534+278+314+418+283+379+251</f>
        <v>4109</v>
      </c>
      <c r="BN364" s="10"/>
      <c r="BO364" s="8"/>
      <c r="BP364" s="5">
        <v>157</v>
      </c>
      <c r="BQ364" s="10"/>
      <c r="BR364" s="29">
        <v>2000</v>
      </c>
      <c r="BS364" s="64">
        <v>2000</v>
      </c>
      <c r="BT364" s="14">
        <v>1</v>
      </c>
      <c r="BU364" s="10"/>
      <c r="BV364" s="8"/>
      <c r="BW364" s="10"/>
      <c r="BX364" s="10"/>
      <c r="BY364" s="10"/>
      <c r="BZ364" s="10"/>
      <c r="CA364" s="10"/>
      <c r="CB364" s="10"/>
      <c r="CC364" s="221"/>
      <c r="CD364" s="10"/>
      <c r="CE364" s="317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317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38">
        <f t="shared" si="165"/>
        <v>0</v>
      </c>
      <c r="DW364" s="14" t="str">
        <f t="shared" si="166"/>
        <v>PROB</v>
      </c>
    </row>
    <row r="365" spans="1:127" customFormat="1">
      <c r="A365" s="210">
        <v>36540</v>
      </c>
      <c r="B365" s="211"/>
      <c r="C365" s="8">
        <v>2</v>
      </c>
      <c r="D365" s="59">
        <v>5</v>
      </c>
      <c r="E365" s="59">
        <v>0</v>
      </c>
      <c r="F365" s="59">
        <v>0</v>
      </c>
      <c r="G365" s="59">
        <v>4</v>
      </c>
      <c r="H365" s="59">
        <v>3</v>
      </c>
      <c r="I365" s="59">
        <v>0</v>
      </c>
      <c r="J365" s="59">
        <v>10</v>
      </c>
      <c r="K365" s="59">
        <v>0</v>
      </c>
      <c r="L365" s="59">
        <v>0</v>
      </c>
      <c r="M365" s="59"/>
      <c r="N365" s="59"/>
      <c r="O365" s="59">
        <v>1</v>
      </c>
      <c r="P365" s="59">
        <v>1</v>
      </c>
      <c r="Q365" s="59">
        <v>0</v>
      </c>
      <c r="R365" s="59">
        <v>0</v>
      </c>
      <c r="S365" s="35">
        <f t="shared" si="163"/>
        <v>26</v>
      </c>
      <c r="T365" s="59">
        <v>0</v>
      </c>
      <c r="U365" s="59">
        <v>2</v>
      </c>
      <c r="V365" s="59"/>
      <c r="W365" s="10">
        <v>0</v>
      </c>
      <c r="X365" s="5">
        <v>0</v>
      </c>
      <c r="Y365" s="10"/>
      <c r="Z365" s="61">
        <v>1514155</v>
      </c>
      <c r="AA365" s="59">
        <v>373582</v>
      </c>
      <c r="AB365" s="59"/>
      <c r="AC365" s="61">
        <v>222408</v>
      </c>
      <c r="AD365" s="59">
        <v>585855</v>
      </c>
      <c r="AE365" s="35">
        <f t="shared" si="164"/>
        <v>808263</v>
      </c>
      <c r="AF365" s="10"/>
      <c r="AG365" s="8">
        <v>40</v>
      </c>
      <c r="AH365" s="59">
        <v>92</v>
      </c>
      <c r="AI365" s="59">
        <v>142</v>
      </c>
      <c r="AJ365" s="5">
        <v>20</v>
      </c>
      <c r="AK365" s="10"/>
      <c r="AL365" s="8"/>
      <c r="AM365" s="10"/>
      <c r="AN365" s="35"/>
      <c r="AO365" s="10"/>
      <c r="AP365" s="10"/>
      <c r="AQ365" s="35"/>
      <c r="AR365" s="59"/>
      <c r="AS365" s="59"/>
      <c r="AT365" s="59"/>
      <c r="AU365" s="59"/>
      <c r="AV365" s="62"/>
      <c r="AW365" s="10"/>
      <c r="AX365" s="326"/>
      <c r="AY365" s="5"/>
      <c r="AZ365" s="10"/>
      <c r="BA365" s="8"/>
      <c r="BB365" s="10"/>
      <c r="BC365" s="10"/>
      <c r="BD365" s="10"/>
      <c r="BE365" s="10"/>
      <c r="BF365" s="10"/>
      <c r="BG365" s="10"/>
      <c r="BH365" s="30"/>
      <c r="BI365" s="10"/>
      <c r="BJ365" s="338"/>
      <c r="BK365" s="338"/>
      <c r="BL365" s="303"/>
      <c r="BM365" s="5"/>
      <c r="BN365" s="10"/>
      <c r="BO365" s="8"/>
      <c r="BP365" s="5"/>
      <c r="BQ365" s="10"/>
      <c r="BR365" s="29">
        <v>2000</v>
      </c>
      <c r="BS365" s="64">
        <v>2000</v>
      </c>
      <c r="BT365" s="14">
        <v>2</v>
      </c>
      <c r="BU365" s="10"/>
      <c r="BV365" s="8"/>
      <c r="BW365" s="10"/>
      <c r="BX365" s="10"/>
      <c r="BY365" s="10"/>
      <c r="BZ365" s="10"/>
      <c r="CA365" s="10"/>
      <c r="CB365" s="10"/>
      <c r="CC365" s="221"/>
      <c r="CD365" s="10"/>
      <c r="CE365" s="317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317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38">
        <f t="shared" si="165"/>
        <v>0</v>
      </c>
      <c r="DW365" s="14" t="str">
        <f t="shared" si="166"/>
        <v>PROB</v>
      </c>
    </row>
    <row r="366" spans="1:127" customFormat="1">
      <c r="A366" s="210">
        <v>36557</v>
      </c>
      <c r="B366" s="211"/>
      <c r="C366" s="8">
        <v>2</v>
      </c>
      <c r="D366" s="59">
        <v>12</v>
      </c>
      <c r="E366" s="59">
        <v>0</v>
      </c>
      <c r="F366" s="59">
        <v>0</v>
      </c>
      <c r="G366" s="59">
        <v>0</v>
      </c>
      <c r="H366" s="59">
        <v>0</v>
      </c>
      <c r="I366" s="59">
        <v>0</v>
      </c>
      <c r="J366" s="59">
        <v>3</v>
      </c>
      <c r="K366" s="59">
        <v>0</v>
      </c>
      <c r="L366" s="59">
        <v>0</v>
      </c>
      <c r="M366" s="59"/>
      <c r="N366" s="59"/>
      <c r="O366" s="59">
        <v>4</v>
      </c>
      <c r="P366" s="59">
        <v>1</v>
      </c>
      <c r="Q366" s="59">
        <v>0</v>
      </c>
      <c r="R366" s="59">
        <v>0</v>
      </c>
      <c r="S366" s="35">
        <f t="shared" si="163"/>
        <v>22</v>
      </c>
      <c r="T366" s="59">
        <v>0</v>
      </c>
      <c r="U366" s="59">
        <v>4</v>
      </c>
      <c r="V366" s="59"/>
      <c r="W366" s="10">
        <v>0</v>
      </c>
      <c r="X366" s="5">
        <v>0</v>
      </c>
      <c r="Y366" s="10"/>
      <c r="Z366" s="61">
        <v>742281</v>
      </c>
      <c r="AA366" s="59">
        <v>685540</v>
      </c>
      <c r="AB366" s="59"/>
      <c r="AC366" s="61">
        <v>642535</v>
      </c>
      <c r="AD366" s="59">
        <v>509426</v>
      </c>
      <c r="AE366" s="35">
        <f t="shared" si="164"/>
        <v>1151961</v>
      </c>
      <c r="AF366" s="10"/>
      <c r="AG366" s="8">
        <v>89</v>
      </c>
      <c r="AH366" s="59">
        <v>4</v>
      </c>
      <c r="AI366" s="59">
        <v>102</v>
      </c>
      <c r="AJ366" s="5">
        <v>20</v>
      </c>
      <c r="AK366" s="10"/>
      <c r="AL366" s="8"/>
      <c r="AM366" s="10"/>
      <c r="AN366" s="35"/>
      <c r="AO366" s="10"/>
      <c r="AP366" s="10"/>
      <c r="AQ366" s="35"/>
      <c r="AR366" s="59"/>
      <c r="AS366" s="59"/>
      <c r="AT366" s="59"/>
      <c r="AU366" s="59"/>
      <c r="AV366" s="62"/>
      <c r="AW366" s="10"/>
      <c r="AX366" s="326"/>
      <c r="AY366" s="5"/>
      <c r="AZ366" s="10"/>
      <c r="BA366" s="8">
        <v>1692</v>
      </c>
      <c r="BB366" s="10">
        <v>27998594</v>
      </c>
      <c r="BC366" s="10"/>
      <c r="BD366" s="10"/>
      <c r="BE366" s="10">
        <v>55</v>
      </c>
      <c r="BF366" s="59">
        <v>4</v>
      </c>
      <c r="BG366" s="59">
        <v>3</v>
      </c>
      <c r="BH366" s="351"/>
      <c r="BI366" s="10">
        <v>2485594</v>
      </c>
      <c r="BJ366" s="338"/>
      <c r="BK366" s="338"/>
      <c r="BL366" s="303"/>
      <c r="BM366" s="5"/>
      <c r="BN366" s="10"/>
      <c r="BO366" s="8"/>
      <c r="BP366" s="5">
        <v>157</v>
      </c>
      <c r="BQ366" s="10"/>
      <c r="BR366" s="29">
        <v>2000</v>
      </c>
      <c r="BS366" s="64">
        <v>2000</v>
      </c>
      <c r="BT366" s="14">
        <v>3</v>
      </c>
      <c r="BU366" s="10"/>
      <c r="BV366" s="8"/>
      <c r="BW366" s="10"/>
      <c r="BX366" s="10"/>
      <c r="BY366" s="10"/>
      <c r="BZ366" s="10"/>
      <c r="CA366" s="10"/>
      <c r="CB366" s="10"/>
      <c r="CC366" s="221"/>
      <c r="CD366" s="10"/>
      <c r="CE366" s="317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317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38">
        <f t="shared" si="165"/>
        <v>0</v>
      </c>
      <c r="DW366" s="14" t="str">
        <f t="shared" si="166"/>
        <v>PROB</v>
      </c>
    </row>
    <row r="367" spans="1:127" customFormat="1">
      <c r="A367" s="210">
        <v>36571</v>
      </c>
      <c r="B367" s="211"/>
      <c r="C367" s="8">
        <v>1</v>
      </c>
      <c r="D367" s="59">
        <v>16</v>
      </c>
      <c r="E367" s="59">
        <v>0</v>
      </c>
      <c r="F367" s="59">
        <v>1</v>
      </c>
      <c r="G367" s="59">
        <v>1</v>
      </c>
      <c r="H367" s="59">
        <v>0</v>
      </c>
      <c r="I367" s="59">
        <v>0</v>
      </c>
      <c r="J367" s="59">
        <v>10</v>
      </c>
      <c r="K367" s="59">
        <v>0</v>
      </c>
      <c r="L367" s="59">
        <v>0</v>
      </c>
      <c r="M367" s="59"/>
      <c r="N367" s="59"/>
      <c r="O367" s="59">
        <v>2</v>
      </c>
      <c r="P367" s="59">
        <v>2</v>
      </c>
      <c r="Q367" s="59">
        <v>1</v>
      </c>
      <c r="R367" s="59">
        <v>0</v>
      </c>
      <c r="S367" s="35">
        <f t="shared" si="163"/>
        <v>34</v>
      </c>
      <c r="T367" s="59">
        <v>1</v>
      </c>
      <c r="U367" s="59">
        <v>19</v>
      </c>
      <c r="V367" s="59"/>
      <c r="W367" s="10">
        <v>0</v>
      </c>
      <c r="X367" s="5">
        <v>0</v>
      </c>
      <c r="Y367" s="10"/>
      <c r="Z367" s="61">
        <v>675777</v>
      </c>
      <c r="AA367" s="59">
        <v>257764</v>
      </c>
      <c r="AB367" s="59"/>
      <c r="AC367" s="61">
        <v>489228</v>
      </c>
      <c r="AD367" s="59">
        <v>1056529</v>
      </c>
      <c r="AE367" s="35">
        <f t="shared" si="164"/>
        <v>1545757</v>
      </c>
      <c r="AF367" s="10"/>
      <c r="AG367" s="8">
        <v>71</v>
      </c>
      <c r="AH367" s="59">
        <v>11</v>
      </c>
      <c r="AI367" s="59">
        <v>94</v>
      </c>
      <c r="AJ367" s="5">
        <v>24</v>
      </c>
      <c r="AK367" s="10"/>
      <c r="AL367" s="8"/>
      <c r="AM367" s="10"/>
      <c r="AN367" s="35"/>
      <c r="AO367" s="10"/>
      <c r="AP367" s="10"/>
      <c r="AQ367" s="35"/>
      <c r="AR367" s="59"/>
      <c r="AS367" s="59">
        <v>5</v>
      </c>
      <c r="AT367" s="59">
        <v>8</v>
      </c>
      <c r="AU367" s="59"/>
      <c r="AV367" s="62">
        <v>14</v>
      </c>
      <c r="AW367" s="10"/>
      <c r="AX367" s="326"/>
      <c r="AY367" s="5"/>
      <c r="AZ367" s="10"/>
      <c r="BA367" s="8"/>
      <c r="BB367" s="10"/>
      <c r="BC367" s="10"/>
      <c r="BD367" s="10"/>
      <c r="BE367" s="10"/>
      <c r="BF367" s="10"/>
      <c r="BG367" s="10"/>
      <c r="BH367" s="30"/>
      <c r="BI367" s="10"/>
      <c r="BJ367" s="338"/>
      <c r="BK367" s="338"/>
      <c r="BL367" s="303"/>
      <c r="BM367" s="5"/>
      <c r="BN367" s="10"/>
      <c r="BO367" s="8"/>
      <c r="BP367" s="5"/>
      <c r="BQ367" s="10"/>
      <c r="BR367" s="29">
        <v>2000</v>
      </c>
      <c r="BS367" s="64">
        <v>2000</v>
      </c>
      <c r="BT367" s="14">
        <v>4</v>
      </c>
      <c r="BU367" s="10"/>
      <c r="BV367" s="8"/>
      <c r="BW367" s="10"/>
      <c r="BX367" s="10"/>
      <c r="BY367" s="10"/>
      <c r="BZ367" s="10"/>
      <c r="CA367" s="10"/>
      <c r="CB367" s="10"/>
      <c r="CC367" s="221"/>
      <c r="CD367" s="10"/>
      <c r="CE367" s="317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317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38">
        <f t="shared" si="165"/>
        <v>0</v>
      </c>
      <c r="DW367" s="14" t="str">
        <f t="shared" si="166"/>
        <v>PROB</v>
      </c>
    </row>
    <row r="368" spans="1:127" customFormat="1">
      <c r="A368" s="210">
        <v>36586</v>
      </c>
      <c r="B368" s="211"/>
      <c r="C368" s="8">
        <v>0</v>
      </c>
      <c r="D368" s="59">
        <v>12</v>
      </c>
      <c r="E368" s="59">
        <v>0</v>
      </c>
      <c r="F368" s="59">
        <v>2</v>
      </c>
      <c r="G368" s="59">
        <v>0</v>
      </c>
      <c r="H368" s="59">
        <v>0</v>
      </c>
      <c r="I368" s="59">
        <v>0</v>
      </c>
      <c r="J368" s="59">
        <v>6</v>
      </c>
      <c r="K368" s="59">
        <v>0</v>
      </c>
      <c r="L368" s="59">
        <v>0</v>
      </c>
      <c r="M368" s="59"/>
      <c r="N368" s="59"/>
      <c r="O368" s="59">
        <v>5</v>
      </c>
      <c r="P368" s="59">
        <v>1</v>
      </c>
      <c r="Q368" s="59">
        <v>0</v>
      </c>
      <c r="R368" s="59">
        <v>0</v>
      </c>
      <c r="S368" s="35">
        <f t="shared" si="163"/>
        <v>26</v>
      </c>
      <c r="T368" s="59">
        <v>1</v>
      </c>
      <c r="U368" s="59">
        <v>7</v>
      </c>
      <c r="V368" s="59"/>
      <c r="W368" s="10">
        <v>0</v>
      </c>
      <c r="X368" s="5">
        <v>0</v>
      </c>
      <c r="Y368" s="10"/>
      <c r="Z368" s="61">
        <v>623732</v>
      </c>
      <c r="AA368" s="59">
        <v>772618</v>
      </c>
      <c r="AB368" s="59"/>
      <c r="AC368" s="61">
        <v>663195</v>
      </c>
      <c r="AD368" s="59">
        <v>640614</v>
      </c>
      <c r="AE368" s="35">
        <f t="shared" si="164"/>
        <v>1303809</v>
      </c>
      <c r="AF368" s="10"/>
      <c r="AG368" s="8">
        <v>64</v>
      </c>
      <c r="AH368" s="59">
        <v>13</v>
      </c>
      <c r="AI368" s="59">
        <v>90</v>
      </c>
      <c r="AJ368" s="5">
        <v>20</v>
      </c>
      <c r="AK368" s="10"/>
      <c r="AL368" s="8"/>
      <c r="AM368" s="10"/>
      <c r="AN368" s="35"/>
      <c r="AO368" s="10"/>
      <c r="AP368" s="10"/>
      <c r="AQ368" s="35"/>
      <c r="AR368" s="59"/>
      <c r="AS368" s="59"/>
      <c r="AT368" s="59"/>
      <c r="AU368" s="59"/>
      <c r="AV368" s="62"/>
      <c r="AW368" s="10"/>
      <c r="AX368" s="326"/>
      <c r="AY368" s="5"/>
      <c r="AZ368" s="10"/>
      <c r="BA368" s="8">
        <v>1681</v>
      </c>
      <c r="BB368" s="10">
        <v>27834036</v>
      </c>
      <c r="BC368" s="10"/>
      <c r="BD368" s="10"/>
      <c r="BE368" s="10">
        <v>28</v>
      </c>
      <c r="BF368" s="59">
        <v>2</v>
      </c>
      <c r="BG368" s="59">
        <v>13</v>
      </c>
      <c r="BH368" s="351"/>
      <c r="BI368" s="10">
        <v>1093727</v>
      </c>
      <c r="BJ368" s="338"/>
      <c r="BK368" s="338"/>
      <c r="BL368" s="303"/>
      <c r="BM368" s="5"/>
      <c r="BN368" s="10"/>
      <c r="BO368" s="8"/>
      <c r="BP368" s="5">
        <v>157</v>
      </c>
      <c r="BQ368" s="10"/>
      <c r="BR368" s="29">
        <v>2000</v>
      </c>
      <c r="BS368" s="64">
        <v>2000</v>
      </c>
      <c r="BT368" s="14">
        <v>5</v>
      </c>
      <c r="BU368" s="10"/>
      <c r="BV368" s="8"/>
      <c r="BW368" s="10"/>
      <c r="BX368" s="10"/>
      <c r="BY368" s="10"/>
      <c r="BZ368" s="10"/>
      <c r="CA368" s="10"/>
      <c r="CB368" s="10"/>
      <c r="CC368" s="221"/>
      <c r="CD368" s="10"/>
      <c r="CE368" s="317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317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38">
        <f t="shared" si="165"/>
        <v>0</v>
      </c>
      <c r="DW368" s="14" t="str">
        <f t="shared" si="166"/>
        <v>PROB</v>
      </c>
    </row>
    <row r="369" spans="1:127" customFormat="1">
      <c r="A369" s="210">
        <v>36600</v>
      </c>
      <c r="B369" s="211"/>
      <c r="C369" s="8">
        <v>4</v>
      </c>
      <c r="D369" s="59">
        <v>9</v>
      </c>
      <c r="E369" s="59">
        <v>1</v>
      </c>
      <c r="F369" s="59">
        <v>0</v>
      </c>
      <c r="G369" s="59">
        <v>0</v>
      </c>
      <c r="H369" s="59">
        <v>0</v>
      </c>
      <c r="I369" s="59">
        <v>0</v>
      </c>
      <c r="J369" s="59">
        <v>5</v>
      </c>
      <c r="K369" s="59">
        <v>0</v>
      </c>
      <c r="L369" s="59">
        <v>0</v>
      </c>
      <c r="M369" s="59"/>
      <c r="N369" s="59"/>
      <c r="O369" s="59">
        <v>9</v>
      </c>
      <c r="P369" s="59">
        <v>0</v>
      </c>
      <c r="Q369" s="59">
        <v>0</v>
      </c>
      <c r="R369" s="59">
        <v>0</v>
      </c>
      <c r="S369" s="35">
        <f t="shared" si="163"/>
        <v>28</v>
      </c>
      <c r="T369" s="59">
        <v>0</v>
      </c>
      <c r="U369" s="59">
        <v>5</v>
      </c>
      <c r="V369" s="59"/>
      <c r="W369" s="10">
        <v>0</v>
      </c>
      <c r="X369" s="5">
        <v>0</v>
      </c>
      <c r="Y369" s="10"/>
      <c r="Z369" s="61">
        <v>778175</v>
      </c>
      <c r="AA369" s="59">
        <v>564451</v>
      </c>
      <c r="AB369" s="59"/>
      <c r="AC369" s="61">
        <v>489879</v>
      </c>
      <c r="AD369" s="59">
        <v>803210</v>
      </c>
      <c r="AE369" s="35">
        <f t="shared" si="164"/>
        <v>1293089</v>
      </c>
      <c r="AF369" s="10"/>
      <c r="AG369" s="8">
        <v>47</v>
      </c>
      <c r="AH369" s="59">
        <v>16</v>
      </c>
      <c r="AI369" s="59">
        <v>94</v>
      </c>
      <c r="AJ369" s="5">
        <v>16</v>
      </c>
      <c r="AK369" s="10"/>
      <c r="AL369" s="8"/>
      <c r="AM369" s="10"/>
      <c r="AN369" s="35"/>
      <c r="AO369" s="10"/>
      <c r="AP369" s="10"/>
      <c r="AQ369" s="35"/>
      <c r="AR369" s="59"/>
      <c r="AS369" s="59"/>
      <c r="AT369" s="59"/>
      <c r="AU369" s="59"/>
      <c r="AV369" s="62"/>
      <c r="AW369" s="10"/>
      <c r="AX369" s="326"/>
      <c r="AY369" s="5"/>
      <c r="AZ369" s="10"/>
      <c r="BA369" s="8"/>
      <c r="BB369" s="10"/>
      <c r="BC369" s="10"/>
      <c r="BD369" s="10"/>
      <c r="BE369" s="10"/>
      <c r="BF369" s="10"/>
      <c r="BG369" s="10"/>
      <c r="BH369" s="30"/>
      <c r="BI369" s="10"/>
      <c r="BJ369" s="338"/>
      <c r="BK369" s="338"/>
      <c r="BL369" s="303"/>
      <c r="BM369" s="5"/>
      <c r="BN369" s="10"/>
      <c r="BO369" s="8"/>
      <c r="BP369" s="5"/>
      <c r="BQ369" s="10"/>
      <c r="BR369" s="29">
        <v>2000</v>
      </c>
      <c r="BS369" s="64">
        <v>2000</v>
      </c>
      <c r="BT369" s="14">
        <v>6</v>
      </c>
      <c r="BU369" s="10"/>
      <c r="BV369" s="8"/>
      <c r="BW369" s="10"/>
      <c r="BX369" s="10"/>
      <c r="BY369" s="10"/>
      <c r="BZ369" s="10"/>
      <c r="CA369" s="10"/>
      <c r="CB369" s="10"/>
      <c r="CC369" s="221"/>
      <c r="CD369" s="10"/>
      <c r="CE369" s="317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317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38">
        <f t="shared" si="165"/>
        <v>0</v>
      </c>
      <c r="DW369" s="14" t="str">
        <f t="shared" si="166"/>
        <v>PROB</v>
      </c>
    </row>
    <row r="370" spans="1:127" customFormat="1">
      <c r="A370" s="210">
        <v>36617</v>
      </c>
      <c r="B370" s="211"/>
      <c r="C370" s="8">
        <v>1</v>
      </c>
      <c r="D370" s="59">
        <v>3</v>
      </c>
      <c r="E370" s="59">
        <v>1</v>
      </c>
      <c r="F370" s="59">
        <v>0</v>
      </c>
      <c r="G370" s="59">
        <v>0</v>
      </c>
      <c r="H370" s="59">
        <v>1</v>
      </c>
      <c r="I370" s="59">
        <v>0</v>
      </c>
      <c r="J370" s="59">
        <v>0</v>
      </c>
      <c r="K370" s="59">
        <v>0</v>
      </c>
      <c r="L370" s="59">
        <v>0</v>
      </c>
      <c r="M370" s="59"/>
      <c r="N370" s="59"/>
      <c r="O370" s="59">
        <v>0</v>
      </c>
      <c r="P370" s="59">
        <v>0</v>
      </c>
      <c r="Q370" s="59">
        <v>0</v>
      </c>
      <c r="R370" s="59">
        <v>0</v>
      </c>
      <c r="S370" s="35">
        <f t="shared" si="163"/>
        <v>6</v>
      </c>
      <c r="T370" s="59">
        <v>0</v>
      </c>
      <c r="U370" s="59">
        <v>1</v>
      </c>
      <c r="V370" s="59"/>
      <c r="W370" s="10">
        <v>0</v>
      </c>
      <c r="X370" s="5">
        <v>0</v>
      </c>
      <c r="Y370" s="10"/>
      <c r="Z370" s="61">
        <v>1154654</v>
      </c>
      <c r="AA370" s="59">
        <v>164153</v>
      </c>
      <c r="AB370" s="59"/>
      <c r="AC370" s="61">
        <v>164153</v>
      </c>
      <c r="AD370" s="59">
        <v>316403</v>
      </c>
      <c r="AE370" s="35">
        <f t="shared" si="164"/>
        <v>480556</v>
      </c>
      <c r="AF370" s="10"/>
      <c r="AG370" s="8">
        <v>21</v>
      </c>
      <c r="AH370" s="59">
        <v>20</v>
      </c>
      <c r="AI370" s="59">
        <v>126</v>
      </c>
      <c r="AJ370" s="5">
        <v>16</v>
      </c>
      <c r="AK370" s="10"/>
      <c r="AL370" s="8">
        <v>35</v>
      </c>
      <c r="AM370" s="59">
        <v>96</v>
      </c>
      <c r="AN370" s="35">
        <f>SUM(AL370:AM370)</f>
        <v>131</v>
      </c>
      <c r="AO370" s="10">
        <v>87</v>
      </c>
      <c r="AP370" s="10">
        <v>13</v>
      </c>
      <c r="AQ370" s="35">
        <f>SUM(AO370:AP370)</f>
        <v>100</v>
      </c>
      <c r="AR370" s="59"/>
      <c r="AS370" s="59"/>
      <c r="AT370" s="59"/>
      <c r="AU370" s="59"/>
      <c r="AV370" s="62"/>
      <c r="AW370" s="10"/>
      <c r="AX370" s="326"/>
      <c r="AY370" s="5"/>
      <c r="AZ370" s="10"/>
      <c r="BA370" s="8">
        <v>1687</v>
      </c>
      <c r="BB370" s="10">
        <v>27887107</v>
      </c>
      <c r="BC370" s="10"/>
      <c r="BD370" s="10"/>
      <c r="BE370" s="10">
        <v>36</v>
      </c>
      <c r="BF370" s="10">
        <v>6</v>
      </c>
      <c r="BG370" s="59">
        <v>0</v>
      </c>
      <c r="BH370" s="351"/>
      <c r="BI370" s="10">
        <v>1667890</v>
      </c>
      <c r="BJ370" s="338"/>
      <c r="BK370" s="338"/>
      <c r="BL370" s="303"/>
      <c r="BM370" s="5"/>
      <c r="BN370" s="10"/>
      <c r="BO370" s="8"/>
      <c r="BP370" s="5">
        <v>158</v>
      </c>
      <c r="BQ370" s="10"/>
      <c r="BR370" s="29">
        <v>2000</v>
      </c>
      <c r="BS370" s="64">
        <v>2000</v>
      </c>
      <c r="BT370" s="14">
        <v>7</v>
      </c>
      <c r="BU370" s="10"/>
      <c r="BV370" s="8"/>
      <c r="BW370" s="10"/>
      <c r="BX370" s="10"/>
      <c r="BY370" s="10"/>
      <c r="BZ370" s="10"/>
      <c r="CA370" s="10"/>
      <c r="CB370" s="10"/>
      <c r="CC370" s="221"/>
      <c r="CD370" s="10"/>
      <c r="CE370" s="317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317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38">
        <f t="shared" si="165"/>
        <v>0</v>
      </c>
      <c r="DW370" s="14" t="str">
        <f t="shared" si="166"/>
        <v>PROB</v>
      </c>
    </row>
    <row r="371" spans="1:127" customFormat="1">
      <c r="A371" s="210">
        <v>36631</v>
      </c>
      <c r="B371" s="211"/>
      <c r="C371" s="8">
        <v>1</v>
      </c>
      <c r="D371" s="59">
        <v>8</v>
      </c>
      <c r="E371" s="59">
        <v>0</v>
      </c>
      <c r="F371" s="59">
        <v>0</v>
      </c>
      <c r="G371" s="59">
        <v>1</v>
      </c>
      <c r="H371" s="59">
        <v>0</v>
      </c>
      <c r="I371" s="59">
        <v>0</v>
      </c>
      <c r="J371" s="59">
        <v>2</v>
      </c>
      <c r="K371" s="59">
        <v>0</v>
      </c>
      <c r="L371" s="59">
        <v>0</v>
      </c>
      <c r="M371" s="59"/>
      <c r="N371" s="59"/>
      <c r="O371" s="59">
        <v>1</v>
      </c>
      <c r="P371" s="59">
        <v>2</v>
      </c>
      <c r="Q371" s="59">
        <v>0</v>
      </c>
      <c r="R371" s="59">
        <v>0</v>
      </c>
      <c r="S371" s="35">
        <f t="shared" si="163"/>
        <v>15</v>
      </c>
      <c r="T371" s="59">
        <v>0</v>
      </c>
      <c r="U371" s="59">
        <v>2</v>
      </c>
      <c r="V371" s="59"/>
      <c r="W371" s="10">
        <v>0</v>
      </c>
      <c r="X371" s="5">
        <v>0</v>
      </c>
      <c r="Y371" s="10"/>
      <c r="Z371" s="61">
        <v>673721</v>
      </c>
      <c r="AA371" s="59">
        <v>230505</v>
      </c>
      <c r="AB371" s="59"/>
      <c r="AC371" s="61">
        <v>201519</v>
      </c>
      <c r="AD371" s="59">
        <v>520895</v>
      </c>
      <c r="AE371" s="35">
        <f t="shared" si="164"/>
        <v>722414</v>
      </c>
      <c r="AF371" s="10"/>
      <c r="AG371" s="8">
        <v>33</v>
      </c>
      <c r="AH371" s="59">
        <v>22</v>
      </c>
      <c r="AI371" s="59">
        <v>90</v>
      </c>
      <c r="AJ371" s="5">
        <v>16</v>
      </c>
      <c r="AK371" s="10"/>
      <c r="AL371" s="8"/>
      <c r="AM371" s="10"/>
      <c r="AN371" s="35"/>
      <c r="AO371" s="10"/>
      <c r="AP371" s="10"/>
      <c r="AQ371" s="35"/>
      <c r="AR371" s="59"/>
      <c r="AS371" s="59"/>
      <c r="AT371" s="59"/>
      <c r="AU371" s="59"/>
      <c r="AV371" s="62"/>
      <c r="AW371" s="10"/>
      <c r="AX371" s="326"/>
      <c r="AY371" s="5"/>
      <c r="AZ371" s="10"/>
      <c r="BA371" s="8"/>
      <c r="BB371" s="10"/>
      <c r="BC371" s="10"/>
      <c r="BD371" s="10"/>
      <c r="BE371" s="10"/>
      <c r="BF371" s="10"/>
      <c r="BG371" s="10"/>
      <c r="BH371" s="30"/>
      <c r="BI371" s="10"/>
      <c r="BJ371" s="338"/>
      <c r="BK371" s="338"/>
      <c r="BL371" s="303"/>
      <c r="BM371" s="5"/>
      <c r="BN371" s="10"/>
      <c r="BO371" s="8"/>
      <c r="BP371" s="5"/>
      <c r="BQ371" s="10"/>
      <c r="BR371" s="29">
        <v>2000</v>
      </c>
      <c r="BS371" s="64">
        <v>2000</v>
      </c>
      <c r="BT371" s="14">
        <v>8</v>
      </c>
      <c r="BU371" s="10"/>
      <c r="BV371" s="8"/>
      <c r="BW371" s="10"/>
      <c r="BX371" s="10"/>
      <c r="BY371" s="10"/>
      <c r="BZ371" s="10"/>
      <c r="CA371" s="10"/>
      <c r="CB371" s="10"/>
      <c r="CC371" s="221"/>
      <c r="CD371" s="10"/>
      <c r="CE371" s="317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317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  <c r="DG371" s="10"/>
      <c r="DH371" s="10"/>
      <c r="DI371" s="10"/>
      <c r="DJ371" s="10"/>
      <c r="DK371" s="10"/>
      <c r="DL371" s="10"/>
      <c r="DM371" s="10"/>
      <c r="DN371" s="10"/>
      <c r="DO371" s="10"/>
      <c r="DP371" s="10"/>
      <c r="DQ371" s="10"/>
      <c r="DR371" s="10"/>
      <c r="DS371" s="10"/>
      <c r="DT371" s="10"/>
      <c r="DU371" s="10"/>
      <c r="DV371" s="38">
        <f t="shared" si="165"/>
        <v>0</v>
      </c>
      <c r="DW371" s="14" t="str">
        <f t="shared" si="166"/>
        <v>PROB</v>
      </c>
    </row>
    <row r="372" spans="1:127" customFormat="1">
      <c r="A372" s="210">
        <v>36647</v>
      </c>
      <c r="B372" s="211"/>
      <c r="C372" s="8">
        <v>2</v>
      </c>
      <c r="D372" s="59">
        <v>27</v>
      </c>
      <c r="E372" s="59">
        <v>0</v>
      </c>
      <c r="F372" s="59">
        <v>5</v>
      </c>
      <c r="G372" s="59">
        <v>0</v>
      </c>
      <c r="H372" s="59">
        <v>0</v>
      </c>
      <c r="I372" s="59">
        <v>0</v>
      </c>
      <c r="J372" s="59">
        <v>10</v>
      </c>
      <c r="K372" s="59">
        <v>0</v>
      </c>
      <c r="L372" s="59">
        <v>0</v>
      </c>
      <c r="M372" s="59"/>
      <c r="N372" s="59"/>
      <c r="O372" s="59">
        <v>22</v>
      </c>
      <c r="P372" s="59">
        <v>0</v>
      </c>
      <c r="Q372" s="59">
        <v>0</v>
      </c>
      <c r="R372" s="59">
        <v>0</v>
      </c>
      <c r="S372" s="35">
        <f t="shared" si="163"/>
        <v>66</v>
      </c>
      <c r="T372" s="59">
        <v>20</v>
      </c>
      <c r="U372" s="59">
        <v>11</v>
      </c>
      <c r="V372" s="59"/>
      <c r="W372" s="59">
        <v>1</v>
      </c>
      <c r="X372" s="5">
        <v>0</v>
      </c>
      <c r="Y372" s="10"/>
      <c r="Z372" s="61">
        <v>1473387</v>
      </c>
      <c r="AA372" s="59">
        <v>1869988</v>
      </c>
      <c r="AB372" s="59"/>
      <c r="AC372" s="61">
        <v>1696287</v>
      </c>
      <c r="AD372" s="59">
        <v>1427986</v>
      </c>
      <c r="AE372" s="35">
        <f t="shared" si="164"/>
        <v>3124273</v>
      </c>
      <c r="AF372" s="10"/>
      <c r="AG372" s="8">
        <v>189</v>
      </c>
      <c r="AH372" s="59">
        <v>9</v>
      </c>
      <c r="AI372" s="59">
        <v>206</v>
      </c>
      <c r="AJ372" s="5">
        <v>28</v>
      </c>
      <c r="AK372" s="10"/>
      <c r="AL372" s="8"/>
      <c r="AM372" s="10"/>
      <c r="AN372" s="35"/>
      <c r="AO372" s="10"/>
      <c r="AP372" s="10"/>
      <c r="AQ372" s="35"/>
      <c r="AR372" s="59"/>
      <c r="AS372" s="59"/>
      <c r="AT372" s="59"/>
      <c r="AU372" s="59"/>
      <c r="AV372" s="62"/>
      <c r="AW372" s="10"/>
      <c r="AX372" s="326"/>
      <c r="AY372" s="5"/>
      <c r="AZ372" s="10"/>
      <c r="BA372" s="8">
        <v>1688</v>
      </c>
      <c r="BB372" s="10">
        <v>27850890</v>
      </c>
      <c r="BC372" s="10"/>
      <c r="BD372" s="10"/>
      <c r="BE372" s="10">
        <v>44</v>
      </c>
      <c r="BF372" s="10">
        <v>1</v>
      </c>
      <c r="BG372" s="59">
        <v>0</v>
      </c>
      <c r="BH372" s="351"/>
      <c r="BI372" s="10">
        <v>1194440</v>
      </c>
      <c r="BJ372" s="338"/>
      <c r="BK372" s="338"/>
      <c r="BL372" s="303"/>
      <c r="BM372" s="5"/>
      <c r="BN372" s="10"/>
      <c r="BO372" s="8"/>
      <c r="BP372" s="5">
        <v>158</v>
      </c>
      <c r="BQ372" s="10"/>
      <c r="BR372" s="29">
        <v>2000</v>
      </c>
      <c r="BS372" s="64">
        <v>2000</v>
      </c>
      <c r="BT372" s="14">
        <v>9</v>
      </c>
      <c r="BU372" s="10"/>
      <c r="BV372" s="8"/>
      <c r="BW372" s="10"/>
      <c r="BX372" s="10"/>
      <c r="BY372" s="10"/>
      <c r="BZ372" s="10"/>
      <c r="CA372" s="10"/>
      <c r="CB372" s="10"/>
      <c r="CC372" s="221"/>
      <c r="CD372" s="10"/>
      <c r="CE372" s="317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317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  <c r="DF372" s="10"/>
      <c r="DG372" s="10"/>
      <c r="DH372" s="10"/>
      <c r="DI372" s="10"/>
      <c r="DJ372" s="10"/>
      <c r="DK372" s="10"/>
      <c r="DL372" s="10"/>
      <c r="DM372" s="10"/>
      <c r="DN372" s="10"/>
      <c r="DO372" s="10"/>
      <c r="DP372" s="10"/>
      <c r="DQ372" s="10"/>
      <c r="DR372" s="10"/>
      <c r="DS372" s="10"/>
      <c r="DT372" s="10"/>
      <c r="DU372" s="10"/>
      <c r="DV372" s="38">
        <f t="shared" si="165"/>
        <v>0</v>
      </c>
      <c r="DW372" s="14" t="str">
        <f t="shared" si="166"/>
        <v>PROB</v>
      </c>
    </row>
    <row r="373" spans="1:127" customFormat="1">
      <c r="A373" s="210">
        <v>36661</v>
      </c>
      <c r="B373" s="211"/>
      <c r="C373" s="8">
        <v>3</v>
      </c>
      <c r="D373" s="59">
        <v>17</v>
      </c>
      <c r="E373" s="59">
        <v>0</v>
      </c>
      <c r="F373" s="59">
        <v>0</v>
      </c>
      <c r="G373" s="59">
        <v>1</v>
      </c>
      <c r="H373" s="59">
        <v>2</v>
      </c>
      <c r="I373" s="59">
        <v>0</v>
      </c>
      <c r="J373" s="59">
        <v>0</v>
      </c>
      <c r="K373" s="59">
        <v>0</v>
      </c>
      <c r="L373" s="59">
        <v>0</v>
      </c>
      <c r="M373" s="59"/>
      <c r="N373" s="59"/>
      <c r="O373" s="59">
        <v>11</v>
      </c>
      <c r="P373" s="59">
        <v>0</v>
      </c>
      <c r="Q373" s="59">
        <v>0</v>
      </c>
      <c r="R373" s="59">
        <v>0</v>
      </c>
      <c r="S373" s="35">
        <f t="shared" si="163"/>
        <v>34</v>
      </c>
      <c r="T373" s="59">
        <v>9</v>
      </c>
      <c r="U373" s="59">
        <v>6</v>
      </c>
      <c r="V373" s="59"/>
      <c r="W373" s="10">
        <v>0</v>
      </c>
      <c r="X373" s="5">
        <v>1</v>
      </c>
      <c r="Y373" s="10"/>
      <c r="Z373" s="61">
        <v>789346</v>
      </c>
      <c r="AA373" s="59">
        <v>396944</v>
      </c>
      <c r="AB373" s="59"/>
      <c r="AC373" s="61">
        <v>386944</v>
      </c>
      <c r="AD373" s="59">
        <v>789538</v>
      </c>
      <c r="AE373" s="35">
        <f t="shared" si="164"/>
        <v>1176482</v>
      </c>
      <c r="AF373" s="10"/>
      <c r="AG373" s="8">
        <v>55</v>
      </c>
      <c r="AH373" s="59">
        <v>27</v>
      </c>
      <c r="AI373" s="59">
        <v>96</v>
      </c>
      <c r="AJ373" s="5">
        <v>24</v>
      </c>
      <c r="AK373" s="10"/>
      <c r="AL373" s="8"/>
      <c r="AM373" s="10"/>
      <c r="AN373" s="35"/>
      <c r="AO373" s="10"/>
      <c r="AP373" s="10"/>
      <c r="AQ373" s="35"/>
      <c r="AR373" s="59"/>
      <c r="AS373" s="59"/>
      <c r="AT373" s="59"/>
      <c r="AU373" s="59"/>
      <c r="AV373" s="62"/>
      <c r="AW373" s="10"/>
      <c r="AX373" s="326"/>
      <c r="AY373" s="5"/>
      <c r="AZ373" s="10"/>
      <c r="BA373" s="8"/>
      <c r="BB373" s="10"/>
      <c r="BC373" s="10"/>
      <c r="BD373" s="10"/>
      <c r="BE373" s="10"/>
      <c r="BF373" s="10"/>
      <c r="BG373" s="10"/>
      <c r="BH373" s="30"/>
      <c r="BI373" s="10"/>
      <c r="BJ373" s="338"/>
      <c r="BK373" s="338"/>
      <c r="BL373" s="303"/>
      <c r="BM373" s="5"/>
      <c r="BN373" s="10"/>
      <c r="BO373" s="8"/>
      <c r="BP373" s="5"/>
      <c r="BQ373" s="10"/>
      <c r="BR373" s="29">
        <v>2000</v>
      </c>
      <c r="BS373" s="64">
        <v>2000</v>
      </c>
      <c r="BT373" s="14">
        <v>10</v>
      </c>
      <c r="BU373" s="10"/>
      <c r="BV373" s="8"/>
      <c r="BW373" s="10"/>
      <c r="BX373" s="10"/>
      <c r="BY373" s="10"/>
      <c r="BZ373" s="10"/>
      <c r="CA373" s="10"/>
      <c r="CB373" s="10"/>
      <c r="CC373" s="221"/>
      <c r="CD373" s="10"/>
      <c r="CE373" s="317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317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  <c r="DG373" s="10"/>
      <c r="DH373" s="10"/>
      <c r="DI373" s="10"/>
      <c r="DJ373" s="10"/>
      <c r="DK373" s="10"/>
      <c r="DL373" s="10"/>
      <c r="DM373" s="10"/>
      <c r="DN373" s="10"/>
      <c r="DO373" s="10"/>
      <c r="DP373" s="10"/>
      <c r="DQ373" s="10"/>
      <c r="DR373" s="10"/>
      <c r="DS373" s="10"/>
      <c r="DT373" s="10"/>
      <c r="DU373" s="10"/>
      <c r="DV373" s="38">
        <f t="shared" si="165"/>
        <v>0</v>
      </c>
      <c r="DW373" s="14" t="str">
        <f t="shared" si="166"/>
        <v>PROB</v>
      </c>
    </row>
    <row r="374" spans="1:127" customFormat="1">
      <c r="A374" s="210">
        <v>36678</v>
      </c>
      <c r="B374" s="211"/>
      <c r="C374" s="8">
        <v>3</v>
      </c>
      <c r="D374" s="59">
        <v>28</v>
      </c>
      <c r="E374" s="59">
        <v>2</v>
      </c>
      <c r="F374" s="59">
        <v>0</v>
      </c>
      <c r="G374" s="59">
        <v>0</v>
      </c>
      <c r="H374" s="59">
        <v>0</v>
      </c>
      <c r="I374" s="59">
        <v>0</v>
      </c>
      <c r="J374" s="59">
        <v>4</v>
      </c>
      <c r="K374" s="59">
        <v>0</v>
      </c>
      <c r="L374" s="59">
        <v>0</v>
      </c>
      <c r="M374" s="59"/>
      <c r="N374" s="59"/>
      <c r="O374" s="59">
        <v>19</v>
      </c>
      <c r="P374" s="59">
        <v>1</v>
      </c>
      <c r="Q374" s="59">
        <v>0</v>
      </c>
      <c r="R374" s="59">
        <v>0</v>
      </c>
      <c r="S374" s="35">
        <f t="shared" si="163"/>
        <v>57</v>
      </c>
      <c r="T374" s="10">
        <v>19</v>
      </c>
      <c r="U374" s="59">
        <v>20</v>
      </c>
      <c r="V374" s="59"/>
      <c r="W374" s="10">
        <v>0</v>
      </c>
      <c r="X374" s="5">
        <v>1</v>
      </c>
      <c r="Y374" s="10"/>
      <c r="Z374" s="61">
        <v>1099259</v>
      </c>
      <c r="AA374" s="59">
        <v>862994</v>
      </c>
      <c r="AB374" s="59"/>
      <c r="AC374" s="61">
        <v>788495</v>
      </c>
      <c r="AD374" s="59">
        <v>1302683</v>
      </c>
      <c r="AE374" s="35">
        <f t="shared" si="164"/>
        <v>2091178</v>
      </c>
      <c r="AF374" s="10"/>
      <c r="AG374" s="8">
        <v>102</v>
      </c>
      <c r="AH374" s="59">
        <v>29</v>
      </c>
      <c r="AI374" s="59">
        <v>140</v>
      </c>
      <c r="AJ374" s="5">
        <v>28</v>
      </c>
      <c r="AK374" s="10"/>
      <c r="AL374" s="8"/>
      <c r="AM374" s="10"/>
      <c r="AN374" s="35"/>
      <c r="AO374" s="10"/>
      <c r="AP374" s="10"/>
      <c r="AQ374" s="35"/>
      <c r="AR374" s="59"/>
      <c r="AS374" s="59"/>
      <c r="AT374" s="59"/>
      <c r="AU374" s="59"/>
      <c r="AV374" s="62"/>
      <c r="AW374" s="10"/>
      <c r="AX374" s="326"/>
      <c r="AY374" s="5"/>
      <c r="AZ374" s="10"/>
      <c r="BA374" s="8">
        <v>1693</v>
      </c>
      <c r="BB374" s="10">
        <v>27869490</v>
      </c>
      <c r="BC374" s="10"/>
      <c r="BD374" s="10"/>
      <c r="BE374" s="10">
        <v>55</v>
      </c>
      <c r="BF374" s="59">
        <v>6</v>
      </c>
      <c r="BG374" s="59">
        <v>1</v>
      </c>
      <c r="BH374" s="351"/>
      <c r="BI374" s="10">
        <v>1056682</v>
      </c>
      <c r="BJ374" s="338"/>
      <c r="BK374" s="338"/>
      <c r="BL374" s="303"/>
      <c r="BM374" s="5"/>
      <c r="BN374" s="10"/>
      <c r="BO374" s="8"/>
      <c r="BP374" s="5">
        <v>158</v>
      </c>
      <c r="BQ374" s="10"/>
      <c r="BR374" s="29">
        <v>2000</v>
      </c>
      <c r="BS374" s="64">
        <v>2000</v>
      </c>
      <c r="BT374" s="14">
        <v>11</v>
      </c>
      <c r="BU374" s="10"/>
      <c r="BV374" s="8"/>
      <c r="BW374" s="10"/>
      <c r="BX374" s="10"/>
      <c r="BY374" s="10"/>
      <c r="BZ374" s="10"/>
      <c r="CA374" s="10"/>
      <c r="CB374" s="10"/>
      <c r="CC374" s="221"/>
      <c r="CD374" s="10"/>
      <c r="CE374" s="317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317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  <c r="DJ374" s="10"/>
      <c r="DK374" s="10"/>
      <c r="DL374" s="10"/>
      <c r="DM374" s="10"/>
      <c r="DN374" s="10"/>
      <c r="DO374" s="10"/>
      <c r="DP374" s="10"/>
      <c r="DQ374" s="10"/>
      <c r="DR374" s="10"/>
      <c r="DS374" s="10"/>
      <c r="DT374" s="10"/>
      <c r="DU374" s="10"/>
      <c r="DV374" s="38">
        <f t="shared" si="165"/>
        <v>0</v>
      </c>
      <c r="DW374" s="14" t="str">
        <f t="shared" si="166"/>
        <v>PROB</v>
      </c>
    </row>
    <row r="375" spans="1:127" customFormat="1">
      <c r="A375" s="210">
        <v>36692</v>
      </c>
      <c r="B375" s="211"/>
      <c r="C375" s="8">
        <v>1</v>
      </c>
      <c r="D375" s="59">
        <v>11</v>
      </c>
      <c r="E375" s="59">
        <v>1</v>
      </c>
      <c r="F375" s="59">
        <v>0</v>
      </c>
      <c r="G375" s="59">
        <v>0</v>
      </c>
      <c r="H375" s="59">
        <v>0</v>
      </c>
      <c r="I375" s="59">
        <v>0</v>
      </c>
      <c r="J375" s="59">
        <v>5</v>
      </c>
      <c r="K375" s="59">
        <v>0</v>
      </c>
      <c r="L375" s="59">
        <v>0</v>
      </c>
      <c r="M375" s="59"/>
      <c r="N375" s="59"/>
      <c r="O375" s="59">
        <v>20</v>
      </c>
      <c r="P375" s="59">
        <v>2</v>
      </c>
      <c r="Q375" s="59">
        <v>0</v>
      </c>
      <c r="R375" s="59">
        <v>0</v>
      </c>
      <c r="S375" s="35">
        <f t="shared" si="163"/>
        <v>40</v>
      </c>
      <c r="T375" s="59">
        <v>18</v>
      </c>
      <c r="U375" s="59">
        <v>6</v>
      </c>
      <c r="V375" s="59"/>
      <c r="W375" s="59">
        <v>0</v>
      </c>
      <c r="X375" s="5">
        <v>0</v>
      </c>
      <c r="Y375" s="10"/>
      <c r="Z375" s="61">
        <v>881311</v>
      </c>
      <c r="AA375" s="59">
        <v>579401</v>
      </c>
      <c r="AB375" s="59"/>
      <c r="AC375" s="61">
        <v>514813</v>
      </c>
      <c r="AD375" s="59">
        <v>950003</v>
      </c>
      <c r="AE375" s="35">
        <f t="shared" si="164"/>
        <v>1464816</v>
      </c>
      <c r="AF375" s="10"/>
      <c r="AG375" s="8">
        <v>56</v>
      </c>
      <c r="AH375" s="59">
        <v>33</v>
      </c>
      <c r="AI375" s="59">
        <v>102</v>
      </c>
      <c r="AJ375" s="5">
        <v>20</v>
      </c>
      <c r="AK375" s="10"/>
      <c r="AL375" s="8"/>
      <c r="AM375" s="10"/>
      <c r="AN375" s="35"/>
      <c r="AO375" s="10"/>
      <c r="AP375" s="10"/>
      <c r="AQ375" s="35"/>
      <c r="AR375" s="59"/>
      <c r="AS375" s="59"/>
      <c r="AT375" s="59"/>
      <c r="AU375" s="59"/>
      <c r="AV375" s="62"/>
      <c r="AW375" s="10"/>
      <c r="AX375" s="326"/>
      <c r="AY375" s="5"/>
      <c r="AZ375" s="10"/>
      <c r="BA375" s="8"/>
      <c r="BB375" s="10"/>
      <c r="BC375" s="10"/>
      <c r="BD375" s="10"/>
      <c r="BE375" s="10"/>
      <c r="BF375" s="10"/>
      <c r="BG375" s="10"/>
      <c r="BH375" s="30"/>
      <c r="BI375" s="10"/>
      <c r="BJ375" s="338"/>
      <c r="BK375" s="338"/>
      <c r="BL375" s="303"/>
      <c r="BM375" s="5"/>
      <c r="BN375" s="10"/>
      <c r="BO375" s="8"/>
      <c r="BP375" s="5"/>
      <c r="BQ375" s="10"/>
      <c r="BR375" s="69">
        <v>2000</v>
      </c>
      <c r="BS375" s="64">
        <v>2000</v>
      </c>
      <c r="BT375" s="14">
        <v>12</v>
      </c>
      <c r="BU375" s="10"/>
      <c r="BV375" s="8"/>
      <c r="BW375" s="10"/>
      <c r="BX375" s="10"/>
      <c r="BY375" s="10"/>
      <c r="BZ375" s="10"/>
      <c r="CA375" s="10"/>
      <c r="CB375" s="10"/>
      <c r="CC375" s="221"/>
      <c r="CD375" s="10"/>
      <c r="CE375" s="317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317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  <c r="DG375" s="10"/>
      <c r="DH375" s="10"/>
      <c r="DI375" s="10"/>
      <c r="DJ375" s="10"/>
      <c r="DK375" s="10"/>
      <c r="DL375" s="10"/>
      <c r="DM375" s="10"/>
      <c r="DN375" s="10"/>
      <c r="DO375" s="10"/>
      <c r="DP375" s="10"/>
      <c r="DQ375" s="10"/>
      <c r="DR375" s="10"/>
      <c r="DS375" s="10"/>
      <c r="DT375" s="10"/>
      <c r="DU375" s="10"/>
      <c r="DV375" s="38">
        <f t="shared" si="165"/>
        <v>0</v>
      </c>
      <c r="DW375" s="14" t="str">
        <f t="shared" si="166"/>
        <v>PROB</v>
      </c>
    </row>
    <row r="376" spans="1:127" s="6" customFormat="1" ht="12" thickBot="1">
      <c r="A376" s="212" t="s">
        <v>133</v>
      </c>
      <c r="B376" s="83"/>
      <c r="C376" s="52">
        <f t="shared" ref="C376:X376" si="167">SUM(C352:C375)</f>
        <v>52</v>
      </c>
      <c r="D376" s="53">
        <f t="shared" si="167"/>
        <v>337</v>
      </c>
      <c r="E376" s="53">
        <f t="shared" si="167"/>
        <v>30</v>
      </c>
      <c r="F376" s="53">
        <f t="shared" si="167"/>
        <v>12</v>
      </c>
      <c r="G376" s="53">
        <f t="shared" si="167"/>
        <v>25</v>
      </c>
      <c r="H376" s="53">
        <f t="shared" si="167"/>
        <v>11</v>
      </c>
      <c r="I376" s="53">
        <f>SUM(I352:I375)</f>
        <v>0</v>
      </c>
      <c r="J376" s="53">
        <f t="shared" si="167"/>
        <v>140</v>
      </c>
      <c r="K376" s="53">
        <f t="shared" si="167"/>
        <v>1</v>
      </c>
      <c r="L376" s="53">
        <f t="shared" si="167"/>
        <v>0</v>
      </c>
      <c r="M376" s="53"/>
      <c r="N376" s="53"/>
      <c r="O376" s="53">
        <f>SUM(O352:O375)</f>
        <v>215</v>
      </c>
      <c r="P376" s="53">
        <f t="shared" si="167"/>
        <v>16</v>
      </c>
      <c r="Q376" s="53">
        <f t="shared" si="167"/>
        <v>1</v>
      </c>
      <c r="R376" s="53">
        <f t="shared" si="167"/>
        <v>0</v>
      </c>
      <c r="S376" s="55">
        <f t="shared" si="167"/>
        <v>840</v>
      </c>
      <c r="T376" s="53">
        <f t="shared" si="167"/>
        <v>70</v>
      </c>
      <c r="U376" s="53">
        <f t="shared" si="167"/>
        <v>208</v>
      </c>
      <c r="V376" s="53">
        <f t="shared" ref="V376" si="168">SUM(V352:V375)</f>
        <v>0</v>
      </c>
      <c r="W376" s="53">
        <f t="shared" si="167"/>
        <v>1</v>
      </c>
      <c r="X376" s="54">
        <f t="shared" si="167"/>
        <v>5</v>
      </c>
      <c r="Z376" s="52">
        <f>SUM(Z352:Z375)</f>
        <v>26800585</v>
      </c>
      <c r="AA376" s="53">
        <f>SUM(AA352:AA375)</f>
        <v>15653550</v>
      </c>
      <c r="AB376" s="53"/>
      <c r="AC376" s="52">
        <f>SUM(AC352:AC375)</f>
        <v>14397070</v>
      </c>
      <c r="AD376" s="53">
        <f>SUM(AD352:AD375)</f>
        <v>22300338</v>
      </c>
      <c r="AE376" s="55">
        <f>SUM(AE352:AE375)</f>
        <v>36697408</v>
      </c>
      <c r="AG376" s="52">
        <f>SUM(AG352:AG375)</f>
        <v>1615</v>
      </c>
      <c r="AH376" s="53">
        <f>SUM(AH352:AH375)</f>
        <v>992</v>
      </c>
      <c r="AI376" s="53">
        <f>SUM(AI352:AI375)</f>
        <v>3074</v>
      </c>
      <c r="AJ376" s="54">
        <f>SUM(AJ352:AJ375)</f>
        <v>560</v>
      </c>
      <c r="AL376" s="52">
        <f t="shared" ref="AL376:AV376" si="169">SUM(AL352:AL375)</f>
        <v>143</v>
      </c>
      <c r="AM376" s="53">
        <f t="shared" si="169"/>
        <v>368</v>
      </c>
      <c r="AN376" s="55">
        <f t="shared" si="169"/>
        <v>511</v>
      </c>
      <c r="AO376" s="53">
        <f t="shared" si="169"/>
        <v>360</v>
      </c>
      <c r="AP376" s="53">
        <f t="shared" si="169"/>
        <v>50</v>
      </c>
      <c r="AQ376" s="55">
        <f t="shared" si="169"/>
        <v>410</v>
      </c>
      <c r="AR376" s="53">
        <f t="shared" si="169"/>
        <v>0</v>
      </c>
      <c r="AS376" s="53">
        <f t="shared" si="169"/>
        <v>5</v>
      </c>
      <c r="AT376" s="53">
        <f t="shared" si="169"/>
        <v>8</v>
      </c>
      <c r="AU376" s="53">
        <f t="shared" si="169"/>
        <v>0</v>
      </c>
      <c r="AV376" s="54">
        <f t="shared" si="169"/>
        <v>14</v>
      </c>
      <c r="AX376" s="329"/>
      <c r="AY376" s="54"/>
      <c r="BA376" s="52">
        <f t="shared" ref="BA376:BM376" si="170">SUM(BA352:BA375)</f>
        <v>20212</v>
      </c>
      <c r="BB376" s="53">
        <f t="shared" si="170"/>
        <v>335266092</v>
      </c>
      <c r="BC376" s="53">
        <f t="shared" si="170"/>
        <v>0</v>
      </c>
      <c r="BD376" s="53"/>
      <c r="BE376" s="53">
        <f t="shared" si="170"/>
        <v>631</v>
      </c>
      <c r="BF376" s="53">
        <f t="shared" si="170"/>
        <v>59</v>
      </c>
      <c r="BG376" s="53">
        <f t="shared" si="170"/>
        <v>28</v>
      </c>
      <c r="BH376" s="55"/>
      <c r="BI376" s="53">
        <f t="shared" si="170"/>
        <v>18064116</v>
      </c>
      <c r="BJ376" s="339"/>
      <c r="BK376" s="339"/>
      <c r="BL376" s="304"/>
      <c r="BM376" s="54">
        <f t="shared" si="170"/>
        <v>4109</v>
      </c>
      <c r="BO376" s="52">
        <f>SUM(BO352:BO375)</f>
        <v>0</v>
      </c>
      <c r="BP376" s="54">
        <f>SUM(BP352:BP375)</f>
        <v>1872</v>
      </c>
      <c r="BR376" s="81" t="s">
        <v>137</v>
      </c>
      <c r="BS376" s="80"/>
      <c r="BT376" s="82"/>
      <c r="BV376" s="52">
        <f>SUM(BV352:BV375)</f>
        <v>0</v>
      </c>
      <c r="BW376" s="53">
        <f>SUM(BW352:BW375)</f>
        <v>0</v>
      </c>
      <c r="BX376" s="53">
        <f t="shared" ref="BX376:DU376" si="171">SUM(BX352:BX375)</f>
        <v>0</v>
      </c>
      <c r="BY376" s="53">
        <f t="shared" si="171"/>
        <v>0</v>
      </c>
      <c r="BZ376" s="53">
        <f t="shared" si="171"/>
        <v>0</v>
      </c>
      <c r="CA376" s="53">
        <f t="shared" si="171"/>
        <v>0</v>
      </c>
      <c r="CB376" s="53">
        <f t="shared" si="171"/>
        <v>0</v>
      </c>
      <c r="CC376" s="53">
        <f t="shared" si="171"/>
        <v>0</v>
      </c>
      <c r="CD376" s="53">
        <f t="shared" si="171"/>
        <v>0</v>
      </c>
      <c r="CE376" s="53">
        <f t="shared" si="171"/>
        <v>0</v>
      </c>
      <c r="CF376" s="53">
        <f t="shared" si="171"/>
        <v>0</v>
      </c>
      <c r="CG376" s="53">
        <f t="shared" si="171"/>
        <v>0</v>
      </c>
      <c r="CH376" s="53">
        <f t="shared" si="171"/>
        <v>0</v>
      </c>
      <c r="CI376" s="53">
        <f t="shared" si="171"/>
        <v>0</v>
      </c>
      <c r="CJ376" s="53">
        <f t="shared" si="171"/>
        <v>0</v>
      </c>
      <c r="CK376" s="53">
        <f t="shared" si="171"/>
        <v>0</v>
      </c>
      <c r="CL376" s="53">
        <f t="shared" si="171"/>
        <v>0</v>
      </c>
      <c r="CM376" s="53">
        <f t="shared" si="171"/>
        <v>0</v>
      </c>
      <c r="CN376" s="53">
        <f t="shared" si="171"/>
        <v>0</v>
      </c>
      <c r="CO376" s="53">
        <f t="shared" si="171"/>
        <v>0</v>
      </c>
      <c r="CP376" s="53">
        <f t="shared" si="171"/>
        <v>0</v>
      </c>
      <c r="CQ376" s="53">
        <f t="shared" si="171"/>
        <v>0</v>
      </c>
      <c r="CR376" s="53">
        <f t="shared" si="171"/>
        <v>0</v>
      </c>
      <c r="CS376" s="53">
        <f t="shared" si="171"/>
        <v>0</v>
      </c>
      <c r="CT376" s="53">
        <f t="shared" si="171"/>
        <v>0</v>
      </c>
      <c r="CU376" s="53">
        <f t="shared" si="171"/>
        <v>0</v>
      </c>
      <c r="CV376" s="53">
        <f t="shared" si="171"/>
        <v>0</v>
      </c>
      <c r="CW376" s="53">
        <f t="shared" si="171"/>
        <v>0</v>
      </c>
      <c r="CX376" s="53">
        <f t="shared" si="171"/>
        <v>0</v>
      </c>
      <c r="CY376" s="53">
        <f t="shared" si="171"/>
        <v>0</v>
      </c>
      <c r="CZ376" s="53">
        <f t="shared" si="171"/>
        <v>0</v>
      </c>
      <c r="DA376" s="53">
        <f t="shared" si="171"/>
        <v>0</v>
      </c>
      <c r="DB376" s="53">
        <f t="shared" si="171"/>
        <v>0</v>
      </c>
      <c r="DC376" s="53">
        <f t="shared" si="171"/>
        <v>0</v>
      </c>
      <c r="DD376" s="53">
        <f t="shared" si="171"/>
        <v>0</v>
      </c>
      <c r="DE376" s="53">
        <f t="shared" si="171"/>
        <v>0</v>
      </c>
      <c r="DF376" s="53">
        <f t="shared" si="171"/>
        <v>0</v>
      </c>
      <c r="DG376" s="53">
        <f t="shared" si="171"/>
        <v>0</v>
      </c>
      <c r="DH376" s="53">
        <f t="shared" si="171"/>
        <v>0</v>
      </c>
      <c r="DI376" s="53">
        <f t="shared" si="171"/>
        <v>0</v>
      </c>
      <c r="DJ376" s="53">
        <f t="shared" si="171"/>
        <v>0</v>
      </c>
      <c r="DK376" s="53">
        <f t="shared" si="171"/>
        <v>0</v>
      </c>
      <c r="DL376" s="53">
        <f t="shared" si="171"/>
        <v>0</v>
      </c>
      <c r="DM376" s="53">
        <f t="shared" si="171"/>
        <v>0</v>
      </c>
      <c r="DN376" s="53">
        <f t="shared" si="171"/>
        <v>0</v>
      </c>
      <c r="DO376" s="53">
        <f t="shared" si="171"/>
        <v>0</v>
      </c>
      <c r="DP376" s="53">
        <f t="shared" si="171"/>
        <v>0</v>
      </c>
      <c r="DQ376" s="53">
        <f t="shared" si="171"/>
        <v>0</v>
      </c>
      <c r="DR376" s="53">
        <f t="shared" si="171"/>
        <v>0</v>
      </c>
      <c r="DS376" s="53">
        <f t="shared" si="171"/>
        <v>0</v>
      </c>
      <c r="DT376" s="53">
        <f t="shared" si="171"/>
        <v>0</v>
      </c>
      <c r="DU376" s="53">
        <f t="shared" si="171"/>
        <v>0</v>
      </c>
      <c r="DV376" s="54">
        <f t="shared" si="165"/>
        <v>0</v>
      </c>
      <c r="DW376" s="48"/>
    </row>
    <row r="377" spans="1:127" s="6" customFormat="1" ht="12" thickTop="1">
      <c r="A377" s="213" t="s">
        <v>134</v>
      </c>
      <c r="B377" s="24"/>
      <c r="C377" s="39">
        <f t="shared" ref="C377:R377" si="172">ROUND(IF(ISERROR(AVERAGE(C352:C375)),0,AVERAGE(C352:C375)),0)</f>
        <v>2</v>
      </c>
      <c r="D377" s="24">
        <f t="shared" si="172"/>
        <v>14</v>
      </c>
      <c r="E377" s="24">
        <f t="shared" si="172"/>
        <v>1</v>
      </c>
      <c r="F377" s="24">
        <f t="shared" si="172"/>
        <v>1</v>
      </c>
      <c r="G377" s="24">
        <f t="shared" si="172"/>
        <v>1</v>
      </c>
      <c r="H377" s="24">
        <f t="shared" si="172"/>
        <v>0</v>
      </c>
      <c r="I377" s="24">
        <f>ROUND(IF(ISERROR(AVERAGE(I352:I375)),0,AVERAGE(I352:I375)),0)</f>
        <v>0</v>
      </c>
      <c r="J377" s="24">
        <f t="shared" si="172"/>
        <v>6</v>
      </c>
      <c r="K377" s="24">
        <f t="shared" si="172"/>
        <v>0</v>
      </c>
      <c r="L377" s="24">
        <f t="shared" si="172"/>
        <v>0</v>
      </c>
      <c r="M377" s="24"/>
      <c r="N377" s="24"/>
      <c r="O377" s="24">
        <f>ROUND(IF(ISERROR(AVERAGE(O352:O375)),0,AVERAGE(O352:O375)),0)</f>
        <v>9</v>
      </c>
      <c r="P377" s="24">
        <f t="shared" si="172"/>
        <v>1</v>
      </c>
      <c r="Q377" s="24">
        <f t="shared" si="172"/>
        <v>0</v>
      </c>
      <c r="R377" s="24">
        <f t="shared" si="172"/>
        <v>0</v>
      </c>
      <c r="S377" s="31">
        <f>SUM(C377:R377)</f>
        <v>35</v>
      </c>
      <c r="T377" s="24">
        <f>ROUND(IF(ISERROR(AVERAGE(T352:T375)),0,AVERAGE(T352:T375)),0)</f>
        <v>3</v>
      </c>
      <c r="U377" s="24">
        <f>ROUND(IF(ISERROR(AVERAGE(U352:U375)),0,AVERAGE(U352:U375)),0)</f>
        <v>9</v>
      </c>
      <c r="V377" s="24">
        <f>ROUND(IF(ISERROR(AVERAGE(V352:V375)),0,AVERAGE(V352:V375)),0)</f>
        <v>0</v>
      </c>
      <c r="W377" s="24">
        <f>ROUND(IF(ISERROR(AVERAGE(W352:W375)),0,AVERAGE(W352:W375)),0)</f>
        <v>0</v>
      </c>
      <c r="X377" s="40">
        <f>ROUND(IF(ISERROR(AVERAGE(X352:X375)),0,AVERAGE(X352:X375)),0)</f>
        <v>0</v>
      </c>
      <c r="Z377" s="39">
        <f>ROUND(IF(ISERROR(AVERAGE(Z352:Z375)),0,AVERAGE(Z352:Z375)),0)</f>
        <v>1116691</v>
      </c>
      <c r="AA377" s="24">
        <f>ROUND(IF(ISERROR(AVERAGE(AA352:AA375)),0,AVERAGE(AA352:AA375)),0)</f>
        <v>652231</v>
      </c>
      <c r="AB377" s="24"/>
      <c r="AC377" s="39">
        <f>ROUND(IF(ISERROR(AVERAGE(AC352:AC375)),0,AVERAGE(AC352:AC375)),0)</f>
        <v>599878</v>
      </c>
      <c r="AD377" s="24">
        <f>ROUND(IF(ISERROR(AVERAGE(AD352:AD375)),0,AVERAGE(AD352:AD375)),0)</f>
        <v>929181</v>
      </c>
      <c r="AE377" s="31">
        <f>SUM(AC377:AD377)</f>
        <v>1529059</v>
      </c>
      <c r="AG377" s="39">
        <f>ROUND(IF(ISERROR(AVERAGE(AG352:AG375)),0,AVERAGE(AG352:AG375)),0)</f>
        <v>67</v>
      </c>
      <c r="AH377" s="24">
        <f>ROUND(IF(ISERROR(AVERAGE(AH352:AH375)),0,AVERAGE(AH352:AH375)),0)</f>
        <v>41</v>
      </c>
      <c r="AI377" s="24">
        <f>ROUND(IF(ISERROR(AVERAGE(AI352:AI375)),0,AVERAGE(AI352:AI375)),0)</f>
        <v>128</v>
      </c>
      <c r="AJ377" s="40">
        <f>ROUND(IF(ISERROR(AVERAGE(AJ352:AJ375)),0,AVERAGE(AJ352:AJ375)),0)</f>
        <v>23</v>
      </c>
      <c r="AL377" s="39">
        <f>ROUND(IF(ISERROR(AVERAGE(AL352:AL375)),0,AVERAGE(AL352:AL375)),0)</f>
        <v>36</v>
      </c>
      <c r="AM377" s="24">
        <f>ROUND(IF(ISERROR(AVERAGE(AM352:AM375)),0,AVERAGE(AM352:AM375)),0)</f>
        <v>92</v>
      </c>
      <c r="AN377" s="31">
        <f>SUM(AL377:AM377)</f>
        <v>128</v>
      </c>
      <c r="AO377" s="24">
        <f>ROUND(IF(ISERROR(AVERAGE(AO352:AO375)),0,AVERAGE(AO352:AO375)),0)</f>
        <v>90</v>
      </c>
      <c r="AP377" s="24">
        <f>ROUND(IF(ISERROR(AVERAGE(AP352:AP375)),0,AVERAGE(AP352:AP375)),0)</f>
        <v>13</v>
      </c>
      <c r="AQ377" s="31">
        <f>SUM(AO377:AP377)</f>
        <v>103</v>
      </c>
      <c r="AR377" s="24">
        <f>ROUND(IF(ISERROR(AVERAGE(AR352:AR375)),0,AVERAGE(AR352:AR375)),0)</f>
        <v>0</v>
      </c>
      <c r="AS377" s="24">
        <f>ROUND(IF(ISERROR(AVERAGE(AS352:AS375)),0,AVERAGE(AS352:AS375)),0)</f>
        <v>5</v>
      </c>
      <c r="AT377" s="24">
        <f>ROUND(IF(ISERROR(AVERAGE(AT352:AT375)),0,AVERAGE(AT352:AT375)),0)</f>
        <v>8</v>
      </c>
      <c r="AU377" s="24">
        <f>ROUND(IF(ISERROR(AVERAGE(AU352:AU375)),0,AVERAGE(AU352:AU375)),0)</f>
        <v>0</v>
      </c>
      <c r="AV377" s="40">
        <f>ROUND(IF(ISERROR(AVERAGE(AV352:AV375)),0,AVERAGE(AV352:AV375)),0)</f>
        <v>14</v>
      </c>
      <c r="AX377" s="330"/>
      <c r="AY377" s="40"/>
      <c r="BA377" s="39">
        <f t="shared" ref="BA377:BM377" si="173">ROUND(IF(ISERROR(AVERAGE(BA352:BA375)),0,AVERAGE(BA352:BA375)),0)</f>
        <v>1684</v>
      </c>
      <c r="BB377" s="24">
        <f t="shared" si="173"/>
        <v>27938841</v>
      </c>
      <c r="BC377" s="24">
        <f t="shared" si="173"/>
        <v>0</v>
      </c>
      <c r="BD377" s="24"/>
      <c r="BE377" s="24">
        <f t="shared" si="173"/>
        <v>53</v>
      </c>
      <c r="BF377" s="24">
        <f t="shared" si="173"/>
        <v>5</v>
      </c>
      <c r="BG377" s="24">
        <f t="shared" si="173"/>
        <v>2</v>
      </c>
      <c r="BH377" s="31"/>
      <c r="BI377" s="24">
        <f t="shared" si="173"/>
        <v>1505343</v>
      </c>
      <c r="BJ377" s="340"/>
      <c r="BK377" s="340"/>
      <c r="BL377" s="305"/>
      <c r="BM377" s="40">
        <f t="shared" si="173"/>
        <v>4109</v>
      </c>
      <c r="BO377" s="39">
        <f>ROUND(IF(ISERROR(AVERAGE(BO352:BO375)),0,AVERAGE(BO352:BO375)),0)</f>
        <v>0</v>
      </c>
      <c r="BP377" s="40">
        <f>ROUND(IF(ISERROR(AVERAGE(BP352:BP375)),0,AVERAGE(BP352:BP375)),0)</f>
        <v>156</v>
      </c>
      <c r="BR377" s="65" t="s">
        <v>138</v>
      </c>
      <c r="BS377" s="19"/>
      <c r="BT377" s="14"/>
      <c r="BV377" s="39">
        <f>ROUND(IF(ISERROR(AVERAGE(BV352:BV375)),0,AVERAGE(BV352:BV375)),0)</f>
        <v>0</v>
      </c>
      <c r="BW377" s="24">
        <f>ROUND(IF(ISERROR(AVERAGE(BW352:BW375)),0,AVERAGE(BW352:BW375)),0)</f>
        <v>0</v>
      </c>
      <c r="BX377" s="24">
        <f t="shared" ref="BX377:DU377" si="174">ROUND(IF(ISERROR(AVERAGE(BX352:BX375)),0,AVERAGE(BX352:BX375)),0)</f>
        <v>0</v>
      </c>
      <c r="BY377" s="24">
        <f t="shared" si="174"/>
        <v>0</v>
      </c>
      <c r="BZ377" s="24">
        <f t="shared" si="174"/>
        <v>0</v>
      </c>
      <c r="CA377" s="24">
        <f t="shared" si="174"/>
        <v>0</v>
      </c>
      <c r="CB377" s="24">
        <f t="shared" si="174"/>
        <v>0</v>
      </c>
      <c r="CC377" s="24">
        <f t="shared" si="174"/>
        <v>0</v>
      </c>
      <c r="CD377" s="24">
        <f t="shared" si="174"/>
        <v>0</v>
      </c>
      <c r="CE377" s="24">
        <f t="shared" si="174"/>
        <v>0</v>
      </c>
      <c r="CF377" s="24">
        <f t="shared" si="174"/>
        <v>0</v>
      </c>
      <c r="CG377" s="24">
        <f t="shared" si="174"/>
        <v>0</v>
      </c>
      <c r="CH377" s="24">
        <f t="shared" si="174"/>
        <v>0</v>
      </c>
      <c r="CI377" s="24">
        <f t="shared" si="174"/>
        <v>0</v>
      </c>
      <c r="CJ377" s="24">
        <f t="shared" si="174"/>
        <v>0</v>
      </c>
      <c r="CK377" s="24">
        <f t="shared" si="174"/>
        <v>0</v>
      </c>
      <c r="CL377" s="24">
        <f t="shared" si="174"/>
        <v>0</v>
      </c>
      <c r="CM377" s="24">
        <f t="shared" si="174"/>
        <v>0</v>
      </c>
      <c r="CN377" s="24">
        <f t="shared" si="174"/>
        <v>0</v>
      </c>
      <c r="CO377" s="24">
        <f t="shared" si="174"/>
        <v>0</v>
      </c>
      <c r="CP377" s="24">
        <f t="shared" si="174"/>
        <v>0</v>
      </c>
      <c r="CQ377" s="24">
        <f t="shared" si="174"/>
        <v>0</v>
      </c>
      <c r="CR377" s="24">
        <f t="shared" si="174"/>
        <v>0</v>
      </c>
      <c r="CS377" s="24">
        <f t="shared" si="174"/>
        <v>0</v>
      </c>
      <c r="CT377" s="24">
        <f t="shared" si="174"/>
        <v>0</v>
      </c>
      <c r="CU377" s="24">
        <f t="shared" si="174"/>
        <v>0</v>
      </c>
      <c r="CV377" s="24">
        <f t="shared" si="174"/>
        <v>0</v>
      </c>
      <c r="CW377" s="24">
        <f t="shared" si="174"/>
        <v>0</v>
      </c>
      <c r="CX377" s="24">
        <f t="shared" si="174"/>
        <v>0</v>
      </c>
      <c r="CY377" s="24">
        <f t="shared" si="174"/>
        <v>0</v>
      </c>
      <c r="CZ377" s="24">
        <f t="shared" si="174"/>
        <v>0</v>
      </c>
      <c r="DA377" s="24">
        <f t="shared" si="174"/>
        <v>0</v>
      </c>
      <c r="DB377" s="24">
        <f t="shared" si="174"/>
        <v>0</v>
      </c>
      <c r="DC377" s="24">
        <f t="shared" si="174"/>
        <v>0</v>
      </c>
      <c r="DD377" s="24">
        <f t="shared" si="174"/>
        <v>0</v>
      </c>
      <c r="DE377" s="24">
        <f t="shared" si="174"/>
        <v>0</v>
      </c>
      <c r="DF377" s="24">
        <f t="shared" si="174"/>
        <v>0</v>
      </c>
      <c r="DG377" s="24">
        <f t="shared" si="174"/>
        <v>0</v>
      </c>
      <c r="DH377" s="24">
        <f t="shared" si="174"/>
        <v>0</v>
      </c>
      <c r="DI377" s="24">
        <f t="shared" si="174"/>
        <v>0</v>
      </c>
      <c r="DJ377" s="24">
        <f t="shared" si="174"/>
        <v>0</v>
      </c>
      <c r="DK377" s="24">
        <f t="shared" si="174"/>
        <v>0</v>
      </c>
      <c r="DL377" s="24">
        <f t="shared" si="174"/>
        <v>0</v>
      </c>
      <c r="DM377" s="24">
        <f t="shared" si="174"/>
        <v>0</v>
      </c>
      <c r="DN377" s="24">
        <f t="shared" si="174"/>
        <v>0</v>
      </c>
      <c r="DO377" s="24">
        <f t="shared" si="174"/>
        <v>0</v>
      </c>
      <c r="DP377" s="24">
        <f t="shared" si="174"/>
        <v>0</v>
      </c>
      <c r="DQ377" s="24">
        <f t="shared" si="174"/>
        <v>0</v>
      </c>
      <c r="DR377" s="24">
        <f t="shared" si="174"/>
        <v>0</v>
      </c>
      <c r="DS377" s="24">
        <f t="shared" si="174"/>
        <v>0</v>
      </c>
      <c r="DT377" s="24">
        <f t="shared" si="174"/>
        <v>0</v>
      </c>
      <c r="DU377" s="24">
        <f t="shared" si="174"/>
        <v>0</v>
      </c>
      <c r="DV377" s="18"/>
      <c r="DW377" s="48"/>
    </row>
    <row r="378" spans="1:127" customFormat="1">
      <c r="A378" s="210" t="s">
        <v>135</v>
      </c>
      <c r="B378" s="211"/>
      <c r="C378" s="8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30">
        <f>MEDIAN(S352:S375)</f>
        <v>29</v>
      </c>
      <c r="T378" s="10"/>
      <c r="U378" s="10"/>
      <c r="V378" s="10"/>
      <c r="W378" s="10"/>
      <c r="X378" s="5"/>
      <c r="Y378" s="10"/>
      <c r="Z378" s="8"/>
      <c r="AA378" s="10">
        <f>IF(ISERROR(MEDIAN(AA352:AA375)),"",MEDIAN(AA352:AA375))</f>
        <v>578061</v>
      </c>
      <c r="AB378" s="10"/>
      <c r="AC378" s="8"/>
      <c r="AD378" s="10"/>
      <c r="AE378" s="30"/>
      <c r="AF378" s="10"/>
      <c r="AG378" s="8"/>
      <c r="AH378" s="10"/>
      <c r="AI378" s="10">
        <f>IF(ISERROR(MEDIAN(AI352:AI375)),"",MEDIAN(AI352:AI375))</f>
        <v>126</v>
      </c>
      <c r="AJ378" s="5">
        <f>IF(ISERROR(MEDIAN(AJ352:AJ375)),"",MEDIAN(AJ352:AJ375))</f>
        <v>24</v>
      </c>
      <c r="AK378" s="10"/>
      <c r="AL378" s="8"/>
      <c r="AM378" s="10"/>
      <c r="AN378" s="30"/>
      <c r="AO378" s="10"/>
      <c r="AP378" s="10"/>
      <c r="AQ378" s="30"/>
      <c r="AR378" s="10"/>
      <c r="AS378" s="10"/>
      <c r="AT378" s="10"/>
      <c r="AU378" s="10"/>
      <c r="AV378" s="5"/>
      <c r="AW378" s="10"/>
      <c r="AX378" s="326"/>
      <c r="AY378" s="5"/>
      <c r="AZ378" s="10"/>
      <c r="BA378" s="8">
        <f>IF(ISERROR(MEDIAN(BA352:BA375)),"",MEDIAN(BA352:BA375))</f>
        <v>1686.5</v>
      </c>
      <c r="BB378" s="10"/>
      <c r="BC378" s="10"/>
      <c r="BD378" s="10"/>
      <c r="BE378" s="10"/>
      <c r="BF378" s="10"/>
      <c r="BG378" s="10"/>
      <c r="BH378" s="30"/>
      <c r="BI378" s="10"/>
      <c r="BJ378" s="338"/>
      <c r="BK378" s="338"/>
      <c r="BL378" s="303"/>
      <c r="BM378" s="5"/>
      <c r="BN378" s="10"/>
      <c r="BO378" s="8"/>
      <c r="BP378" s="5"/>
      <c r="BQ378" s="10"/>
      <c r="BR378" s="65"/>
      <c r="BS378" s="19"/>
      <c r="BT378" s="14"/>
      <c r="BU378" s="10"/>
      <c r="BV378" s="8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  <c r="DD378" s="10"/>
      <c r="DE378" s="10"/>
      <c r="DF378" s="10"/>
      <c r="DG378" s="10"/>
      <c r="DH378" s="10"/>
      <c r="DI378" s="10"/>
      <c r="DJ378" s="10"/>
      <c r="DK378" s="10"/>
      <c r="DL378" s="10"/>
      <c r="DM378" s="10"/>
      <c r="DN378" s="10"/>
      <c r="DO378" s="10"/>
      <c r="DP378" s="10"/>
      <c r="DQ378" s="10"/>
      <c r="DR378" s="10"/>
      <c r="DS378" s="10"/>
      <c r="DT378" s="10"/>
      <c r="DU378" s="10"/>
      <c r="DV378" s="5"/>
      <c r="DW378" s="21"/>
    </row>
    <row r="379" spans="1:127" customFormat="1" ht="12" thickBot="1">
      <c r="A379" s="214" t="s">
        <v>136</v>
      </c>
      <c r="B379" s="195"/>
      <c r="C379" s="41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32">
        <f>MODE(S352:S375)</f>
        <v>34</v>
      </c>
      <c r="T379" s="22"/>
      <c r="U379" s="22"/>
      <c r="V379" s="22"/>
      <c r="W379" s="22"/>
      <c r="X379" s="42"/>
      <c r="Y379" s="22"/>
      <c r="Z379" s="41"/>
      <c r="AA379" s="22"/>
      <c r="AB379" s="22"/>
      <c r="AC379" s="41"/>
      <c r="AD379" s="22"/>
      <c r="AE379" s="32"/>
      <c r="AF379" s="22"/>
      <c r="AG379" s="41"/>
      <c r="AH379" s="22"/>
      <c r="AI379" s="22">
        <f>IF(ISERROR(MODE(AI352:AI375)),"",MODE(AI352:AI375))</f>
        <v>110</v>
      </c>
      <c r="AJ379" s="42">
        <f>IF(ISERROR(MODE(AJ352:AJ375)),"",MODE(AJ352:AJ375))</f>
        <v>24</v>
      </c>
      <c r="AK379" s="22"/>
      <c r="AL379" s="41"/>
      <c r="AM379" s="22"/>
      <c r="AN379" s="32"/>
      <c r="AO379" s="22"/>
      <c r="AP379" s="22"/>
      <c r="AQ379" s="32"/>
      <c r="AR379" s="22"/>
      <c r="AS379" s="22"/>
      <c r="AT379" s="22"/>
      <c r="AU379" s="22"/>
      <c r="AV379" s="42"/>
      <c r="AW379" s="22"/>
      <c r="AX379" s="331"/>
      <c r="AY379" s="42"/>
      <c r="AZ379" s="22"/>
      <c r="BA379" s="41"/>
      <c r="BB379" s="22"/>
      <c r="BC379" s="22"/>
      <c r="BD379" s="22"/>
      <c r="BE379" s="22"/>
      <c r="BF379" s="22"/>
      <c r="BG379" s="22"/>
      <c r="BH379" s="32"/>
      <c r="BI379" s="22"/>
      <c r="BJ379" s="341"/>
      <c r="BK379" s="341"/>
      <c r="BL379" s="306"/>
      <c r="BM379" s="42"/>
      <c r="BN379" s="22"/>
      <c r="BO379" s="41"/>
      <c r="BP379" s="42"/>
      <c r="BQ379" s="22"/>
      <c r="BR379" s="66"/>
      <c r="BS379" s="51"/>
      <c r="BT379" s="67"/>
      <c r="BU379" s="22"/>
      <c r="BV379" s="41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2"/>
      <c r="CR379" s="22"/>
      <c r="CS379" s="22"/>
      <c r="CT379" s="22"/>
      <c r="CU379" s="22"/>
      <c r="CV379" s="22"/>
      <c r="CW379" s="22"/>
      <c r="CX379" s="22"/>
      <c r="CY379" s="22"/>
      <c r="CZ379" s="22"/>
      <c r="DA379" s="22"/>
      <c r="DB379" s="22"/>
      <c r="DC379" s="22"/>
      <c r="DD379" s="22"/>
      <c r="DE379" s="22"/>
      <c r="DF379" s="22"/>
      <c r="DG379" s="22"/>
      <c r="DH379" s="22"/>
      <c r="DI379" s="22"/>
      <c r="DJ379" s="22"/>
      <c r="DK379" s="22"/>
      <c r="DL379" s="22"/>
      <c r="DM379" s="22"/>
      <c r="DN379" s="22"/>
      <c r="DO379" s="22"/>
      <c r="DP379" s="22"/>
      <c r="DQ379" s="22"/>
      <c r="DR379" s="22"/>
      <c r="DS379" s="22"/>
      <c r="DT379" s="22"/>
      <c r="DU379" s="22"/>
      <c r="DV379" s="42"/>
      <c r="DW379" s="23"/>
    </row>
    <row r="380" spans="1:127" customFormat="1" ht="12" thickBot="1">
      <c r="A380" s="194"/>
      <c r="B380" s="194"/>
      <c r="C380" s="8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30"/>
      <c r="T380" s="10"/>
      <c r="U380" s="97">
        <f>U376/S376</f>
        <v>0.24761904761904763</v>
      </c>
      <c r="V380" s="97"/>
      <c r="W380" s="10"/>
      <c r="X380" s="5"/>
      <c r="Z380" s="8"/>
      <c r="AA380" s="10"/>
      <c r="AB380" s="10"/>
      <c r="AC380" s="8"/>
      <c r="AD380" s="10"/>
      <c r="AE380" s="30"/>
      <c r="AG380" s="8"/>
      <c r="AH380" s="10"/>
      <c r="AI380" s="10"/>
      <c r="AJ380" s="5"/>
      <c r="AL380" s="8"/>
      <c r="AM380" s="10"/>
      <c r="AN380" s="30"/>
      <c r="AO380" s="10"/>
      <c r="AP380" s="10"/>
      <c r="AQ380" s="30"/>
      <c r="AR380" s="10"/>
      <c r="AS380" s="10"/>
      <c r="AT380" s="10"/>
      <c r="AU380" s="10"/>
      <c r="AV380" s="5"/>
      <c r="AX380" s="326"/>
      <c r="AY380" s="5"/>
      <c r="AZ380" s="324"/>
      <c r="BA380" s="8"/>
      <c r="BB380" s="10"/>
      <c r="BC380" s="10"/>
      <c r="BD380" s="10"/>
      <c r="BE380" s="10"/>
      <c r="BF380" s="10"/>
      <c r="BG380" s="10"/>
      <c r="BH380" s="30"/>
      <c r="BI380" s="10"/>
      <c r="BJ380" s="338"/>
      <c r="BK380" s="338"/>
      <c r="BL380" s="303"/>
      <c r="BM380" s="5"/>
      <c r="BO380" s="8"/>
      <c r="BP380" s="5"/>
      <c r="BR380" s="65"/>
      <c r="BS380" s="19"/>
      <c r="BT380" s="14"/>
      <c r="BV380" s="8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  <c r="DD380" s="10"/>
      <c r="DE380" s="10"/>
      <c r="DF380" s="10"/>
      <c r="DG380" s="10"/>
      <c r="DH380" s="10"/>
      <c r="DI380" s="10"/>
      <c r="DJ380" s="10"/>
      <c r="DK380" s="10"/>
      <c r="DL380" s="10"/>
      <c r="DM380" s="10"/>
      <c r="DN380" s="10"/>
      <c r="DO380" s="10"/>
      <c r="DP380" s="10"/>
      <c r="DQ380" s="10"/>
      <c r="DR380" s="10"/>
      <c r="DS380" s="10"/>
      <c r="DT380" s="10"/>
      <c r="DU380" s="10"/>
      <c r="DV380" s="5"/>
    </row>
    <row r="381" spans="1:127" customFormat="1">
      <c r="A381" s="208">
        <v>36708</v>
      </c>
      <c r="B381" s="209"/>
      <c r="C381" s="36">
        <v>5</v>
      </c>
      <c r="D381" s="9">
        <v>20</v>
      </c>
      <c r="E381" s="9">
        <v>0</v>
      </c>
      <c r="F381" s="9">
        <v>0</v>
      </c>
      <c r="G381" s="9">
        <v>1</v>
      </c>
      <c r="H381" s="9">
        <v>0</v>
      </c>
      <c r="I381" s="9">
        <v>0</v>
      </c>
      <c r="J381" s="9">
        <v>3</v>
      </c>
      <c r="K381" s="9">
        <v>0</v>
      </c>
      <c r="L381" s="9">
        <v>0</v>
      </c>
      <c r="M381" s="9"/>
      <c r="N381" s="9"/>
      <c r="O381" s="9">
        <v>7</v>
      </c>
      <c r="P381" s="9">
        <v>1</v>
      </c>
      <c r="Q381" s="9">
        <v>0</v>
      </c>
      <c r="R381" s="9">
        <v>0</v>
      </c>
      <c r="S381" s="33">
        <f>SUM(C381:R381)</f>
        <v>37</v>
      </c>
      <c r="T381" s="9">
        <v>4</v>
      </c>
      <c r="U381" s="9">
        <v>8</v>
      </c>
      <c r="V381" s="9"/>
      <c r="W381" s="9">
        <v>0</v>
      </c>
      <c r="X381" s="37">
        <v>0</v>
      </c>
      <c r="Y381" s="9"/>
      <c r="Z381" s="36">
        <v>1017777</v>
      </c>
      <c r="AA381" s="9">
        <v>706400</v>
      </c>
      <c r="AB381" s="9"/>
      <c r="AC381" s="36">
        <v>627926</v>
      </c>
      <c r="AD381" s="9">
        <v>1010274</v>
      </c>
      <c r="AE381" s="33">
        <f t="shared" ref="AE381:AE404" si="175">SUM(AC381:AD381)</f>
        <v>1638200</v>
      </c>
      <c r="AF381" s="9"/>
      <c r="AG381" s="36">
        <v>71</v>
      </c>
      <c r="AH381" s="9">
        <v>38</v>
      </c>
      <c r="AI381" s="9">
        <v>120</v>
      </c>
      <c r="AJ381" s="37">
        <v>24</v>
      </c>
      <c r="AK381" s="9"/>
      <c r="AL381" s="36">
        <v>34</v>
      </c>
      <c r="AM381" s="9">
        <v>74</v>
      </c>
      <c r="AN381" s="33">
        <f>SUM(AL381:AM381)</f>
        <v>108</v>
      </c>
      <c r="AO381" s="9">
        <v>67</v>
      </c>
      <c r="AP381" s="9">
        <v>9</v>
      </c>
      <c r="AQ381" s="33">
        <f>SUM(AO381:AP381)</f>
        <v>76</v>
      </c>
      <c r="AR381" s="92">
        <v>64</v>
      </c>
      <c r="AS381" s="92"/>
      <c r="AT381" s="92"/>
      <c r="AU381" s="92"/>
      <c r="AV381" s="93"/>
      <c r="AW381" s="9"/>
      <c r="AX381" s="325"/>
      <c r="AY381" s="37"/>
      <c r="AZ381" s="9"/>
      <c r="BA381" s="36">
        <v>1696</v>
      </c>
      <c r="BB381" s="9">
        <v>27908358</v>
      </c>
      <c r="BC381" s="9"/>
      <c r="BD381" s="9"/>
      <c r="BE381" s="9">
        <v>45</v>
      </c>
      <c r="BF381" s="9">
        <v>4</v>
      </c>
      <c r="BG381" s="9">
        <v>1</v>
      </c>
      <c r="BH381" s="350"/>
      <c r="BI381" s="9">
        <v>1943400</v>
      </c>
      <c r="BJ381" s="337"/>
      <c r="BK381" s="337"/>
      <c r="BL381" s="302"/>
      <c r="BM381" s="37"/>
      <c r="BN381" s="9"/>
      <c r="BO381" s="36"/>
      <c r="BP381" s="37">
        <v>159</v>
      </c>
      <c r="BQ381" s="9"/>
      <c r="BR381" s="74">
        <v>2001</v>
      </c>
      <c r="BS381" s="75">
        <v>2000</v>
      </c>
      <c r="BT381" s="13">
        <v>13</v>
      </c>
      <c r="BU381" s="9"/>
      <c r="BV381" s="36"/>
      <c r="BW381" s="9"/>
      <c r="BX381" s="9"/>
      <c r="BY381" s="9"/>
      <c r="BZ381" s="9"/>
      <c r="CA381" s="9"/>
      <c r="CB381" s="9"/>
      <c r="CC381" s="223"/>
      <c r="CD381" s="9"/>
      <c r="CE381" s="220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220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44">
        <f t="shared" ref="DV381:DV405" si="176">SUM(BV381:DU381)</f>
        <v>0</v>
      </c>
      <c r="DW381" s="13" t="str">
        <f t="shared" ref="DW381:DW404" si="177">IF(DV381=S381,"","PROB")</f>
        <v>PROB</v>
      </c>
    </row>
    <row r="382" spans="1:127" customFormat="1">
      <c r="A382" s="210">
        <v>36722</v>
      </c>
      <c r="B382" s="211"/>
      <c r="C382" s="8">
        <v>3</v>
      </c>
      <c r="D382" s="10">
        <v>14</v>
      </c>
      <c r="E382" s="10">
        <v>0</v>
      </c>
      <c r="F382" s="59">
        <v>1</v>
      </c>
      <c r="G382" s="59">
        <v>1</v>
      </c>
      <c r="H382" s="59">
        <v>0</v>
      </c>
      <c r="I382" s="59">
        <v>0</v>
      </c>
      <c r="J382" s="59">
        <v>2</v>
      </c>
      <c r="K382" s="59">
        <v>1</v>
      </c>
      <c r="L382" s="59">
        <v>0</v>
      </c>
      <c r="M382" s="59"/>
      <c r="N382" s="59"/>
      <c r="O382" s="59">
        <v>18</v>
      </c>
      <c r="P382" s="59">
        <v>0</v>
      </c>
      <c r="Q382" s="59">
        <v>0</v>
      </c>
      <c r="R382" s="59">
        <v>0</v>
      </c>
      <c r="S382" s="35">
        <f>SUM(C382:R382)</f>
        <v>40</v>
      </c>
      <c r="T382" s="59">
        <v>11</v>
      </c>
      <c r="U382" s="59">
        <v>7</v>
      </c>
      <c r="V382" s="59"/>
      <c r="W382" s="59">
        <v>0</v>
      </c>
      <c r="X382" s="5">
        <v>0</v>
      </c>
      <c r="Y382" s="10"/>
      <c r="Z382" s="61">
        <v>934073</v>
      </c>
      <c r="AA382" s="59">
        <v>561425</v>
      </c>
      <c r="AB382" s="59"/>
      <c r="AC382" s="61">
        <v>533006</v>
      </c>
      <c r="AD382" s="59">
        <v>958398</v>
      </c>
      <c r="AE382" s="35">
        <f t="shared" si="175"/>
        <v>1491404</v>
      </c>
      <c r="AF382" s="10"/>
      <c r="AG382" s="8">
        <v>52</v>
      </c>
      <c r="AH382" s="59">
        <v>41</v>
      </c>
      <c r="AI382" s="59">
        <v>108</v>
      </c>
      <c r="AJ382" s="5">
        <v>24</v>
      </c>
      <c r="AK382" s="10"/>
      <c r="AL382" s="8"/>
      <c r="AM382" s="10"/>
      <c r="AN382" s="35"/>
      <c r="AO382" s="10"/>
      <c r="AP382" s="10"/>
      <c r="AQ382" s="35"/>
      <c r="AR382" s="59">
        <v>65</v>
      </c>
      <c r="AS382" s="59">
        <v>33</v>
      </c>
      <c r="AT382" s="59">
        <v>71</v>
      </c>
      <c r="AU382" s="59">
        <v>17</v>
      </c>
      <c r="AV382" s="62">
        <v>121</v>
      </c>
      <c r="AW382" s="10"/>
      <c r="AX382" s="326"/>
      <c r="AY382" s="5"/>
      <c r="AZ382" s="10"/>
      <c r="BA382" s="8"/>
      <c r="BB382" s="10"/>
      <c r="BC382" s="10"/>
      <c r="BD382" s="10"/>
      <c r="BE382" s="10"/>
      <c r="BF382" s="10"/>
      <c r="BG382" s="10"/>
      <c r="BH382" s="30"/>
      <c r="BI382" s="10"/>
      <c r="BJ382" s="338"/>
      <c r="BK382" s="338"/>
      <c r="BL382" s="303"/>
      <c r="BM382" s="5"/>
      <c r="BN382" s="10"/>
      <c r="BO382" s="8"/>
      <c r="BP382" s="5"/>
      <c r="BQ382" s="10"/>
      <c r="BR382" s="29">
        <v>2001</v>
      </c>
      <c r="BS382" s="64">
        <v>2000</v>
      </c>
      <c r="BT382" s="14">
        <v>14</v>
      </c>
      <c r="BU382" s="10"/>
      <c r="BV382" s="8"/>
      <c r="BW382" s="10"/>
      <c r="BX382" s="10"/>
      <c r="BY382" s="10"/>
      <c r="BZ382" s="10"/>
      <c r="CA382" s="10"/>
      <c r="CB382" s="10"/>
      <c r="CC382" s="221"/>
      <c r="CD382" s="10"/>
      <c r="CE382" s="317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317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  <c r="DD382" s="10"/>
      <c r="DE382" s="10"/>
      <c r="DF382" s="10"/>
      <c r="DG382" s="10"/>
      <c r="DH382" s="10"/>
      <c r="DI382" s="10"/>
      <c r="DJ382" s="10"/>
      <c r="DK382" s="10"/>
      <c r="DL382" s="10"/>
      <c r="DM382" s="10"/>
      <c r="DN382" s="10"/>
      <c r="DO382" s="10"/>
      <c r="DP382" s="10"/>
      <c r="DQ382" s="10"/>
      <c r="DR382" s="10"/>
      <c r="DS382" s="10"/>
      <c r="DT382" s="10"/>
      <c r="DU382" s="10"/>
      <c r="DV382" s="38">
        <f t="shared" si="176"/>
        <v>0</v>
      </c>
      <c r="DW382" s="14" t="str">
        <f t="shared" si="177"/>
        <v>PROB</v>
      </c>
    </row>
    <row r="383" spans="1:127" customFormat="1">
      <c r="A383" s="210">
        <v>36739</v>
      </c>
      <c r="B383" s="211"/>
      <c r="C383" s="8">
        <v>6</v>
      </c>
      <c r="D383" s="10">
        <v>7</v>
      </c>
      <c r="E383" s="10">
        <v>0</v>
      </c>
      <c r="F383" s="59">
        <v>0</v>
      </c>
      <c r="G383" s="59">
        <v>0</v>
      </c>
      <c r="H383" s="59">
        <v>0</v>
      </c>
      <c r="I383" s="59">
        <v>0</v>
      </c>
      <c r="J383" s="59">
        <v>8</v>
      </c>
      <c r="K383" s="59">
        <v>0</v>
      </c>
      <c r="L383" s="59">
        <v>0</v>
      </c>
      <c r="M383" s="59"/>
      <c r="N383" s="59"/>
      <c r="O383" s="59">
        <v>13</v>
      </c>
      <c r="P383" s="59">
        <v>0</v>
      </c>
      <c r="Q383" s="59">
        <v>0</v>
      </c>
      <c r="R383" s="59">
        <v>0</v>
      </c>
      <c r="S383" s="35">
        <f>SUM(C383:R383)</f>
        <v>34</v>
      </c>
      <c r="T383" s="59">
        <v>12</v>
      </c>
      <c r="U383" s="59">
        <v>6</v>
      </c>
      <c r="V383" s="59"/>
      <c r="W383" s="59">
        <v>0</v>
      </c>
      <c r="X383" s="5">
        <v>0</v>
      </c>
      <c r="Y383" s="10"/>
      <c r="Z383" s="61">
        <v>887624</v>
      </c>
      <c r="AA383" s="59">
        <v>338286</v>
      </c>
      <c r="AB383" s="59"/>
      <c r="AC383" s="61">
        <v>227396</v>
      </c>
      <c r="AD383" s="59">
        <v>1072195</v>
      </c>
      <c r="AE383" s="35">
        <f t="shared" si="175"/>
        <v>1299591</v>
      </c>
      <c r="AF383" s="10"/>
      <c r="AG383" s="8">
        <v>28</v>
      </c>
      <c r="AH383" s="59">
        <v>48</v>
      </c>
      <c r="AI383" s="59">
        <v>88</v>
      </c>
      <c r="AJ383" s="5">
        <v>20</v>
      </c>
      <c r="AK383" s="10"/>
      <c r="AL383" s="8"/>
      <c r="AM383" s="10"/>
      <c r="AN383" s="35"/>
      <c r="AO383" s="10"/>
      <c r="AP383" s="10"/>
      <c r="AQ383" s="35"/>
      <c r="AR383" s="59">
        <v>73</v>
      </c>
      <c r="AS383" s="59"/>
      <c r="AT383" s="59"/>
      <c r="AU383" s="59"/>
      <c r="AV383" s="62"/>
      <c r="AW383" s="10"/>
      <c r="AX383" s="326"/>
      <c r="AY383" s="5"/>
      <c r="AZ383" s="10"/>
      <c r="BA383" s="8">
        <v>1699</v>
      </c>
      <c r="BB383" s="10">
        <v>27848679</v>
      </c>
      <c r="BC383" s="10"/>
      <c r="BD383" s="10"/>
      <c r="BE383" s="10">
        <v>86</v>
      </c>
      <c r="BF383" s="59">
        <v>6</v>
      </c>
      <c r="BG383" s="59">
        <v>3</v>
      </c>
      <c r="BH383" s="351"/>
      <c r="BI383" s="10">
        <v>2282136</v>
      </c>
      <c r="BJ383" s="338"/>
      <c r="BK383" s="338"/>
      <c r="BL383" s="303"/>
      <c r="BM383" s="5"/>
      <c r="BN383" s="10"/>
      <c r="BO383" s="8"/>
      <c r="BP383" s="5">
        <v>159</v>
      </c>
      <c r="BQ383" s="10"/>
      <c r="BR383" s="29">
        <v>2001</v>
      </c>
      <c r="BS383" s="64">
        <v>2000</v>
      </c>
      <c r="BT383" s="14">
        <v>15</v>
      </c>
      <c r="BU383" s="10"/>
      <c r="BV383" s="8"/>
      <c r="BW383" s="10"/>
      <c r="BX383" s="10"/>
      <c r="BY383" s="10"/>
      <c r="BZ383" s="10"/>
      <c r="CA383" s="10"/>
      <c r="CB383" s="10"/>
      <c r="CC383" s="221"/>
      <c r="CD383" s="10"/>
      <c r="CE383" s="317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317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  <c r="DD383" s="10"/>
      <c r="DE383" s="10"/>
      <c r="DF383" s="10"/>
      <c r="DG383" s="10"/>
      <c r="DH383" s="10"/>
      <c r="DI383" s="10"/>
      <c r="DJ383" s="10"/>
      <c r="DK383" s="10"/>
      <c r="DL383" s="10"/>
      <c r="DM383" s="10"/>
      <c r="DN383" s="10"/>
      <c r="DO383" s="10"/>
      <c r="DP383" s="10"/>
      <c r="DQ383" s="10"/>
      <c r="DR383" s="10"/>
      <c r="DS383" s="10"/>
      <c r="DT383" s="10"/>
      <c r="DU383" s="10"/>
      <c r="DV383" s="38">
        <f t="shared" si="176"/>
        <v>0</v>
      </c>
      <c r="DW383" s="14" t="str">
        <f t="shared" si="177"/>
        <v>PROB</v>
      </c>
    </row>
    <row r="384" spans="1:127" customFormat="1">
      <c r="A384" s="210">
        <v>36753</v>
      </c>
      <c r="B384" s="211"/>
      <c r="C384" s="8">
        <v>9</v>
      </c>
      <c r="D384" s="59">
        <v>14</v>
      </c>
      <c r="E384" s="59">
        <v>30</v>
      </c>
      <c r="F384" s="59">
        <v>1</v>
      </c>
      <c r="G384" s="59">
        <v>0</v>
      </c>
      <c r="H384" s="59">
        <v>0</v>
      </c>
      <c r="I384" s="59">
        <v>0</v>
      </c>
      <c r="J384" s="59">
        <v>2</v>
      </c>
      <c r="K384" s="59">
        <v>0</v>
      </c>
      <c r="L384" s="59">
        <v>0</v>
      </c>
      <c r="M384" s="59"/>
      <c r="N384" s="59"/>
      <c r="O384" s="59">
        <v>4</v>
      </c>
      <c r="P384" s="59">
        <v>0</v>
      </c>
      <c r="Q384" s="59">
        <v>0</v>
      </c>
      <c r="R384" s="59">
        <v>0</v>
      </c>
      <c r="S384" s="35">
        <f>SUM(C384:R384)</f>
        <v>60</v>
      </c>
      <c r="T384" s="59">
        <v>2</v>
      </c>
      <c r="U384" s="59">
        <v>1</v>
      </c>
      <c r="V384" s="59"/>
      <c r="W384" s="59">
        <v>0</v>
      </c>
      <c r="X384" s="5">
        <v>0</v>
      </c>
      <c r="Y384" s="10"/>
      <c r="Z384" s="61">
        <v>1393534</v>
      </c>
      <c r="AA384" s="59">
        <v>739124</v>
      </c>
      <c r="AB384" s="59"/>
      <c r="AC384" s="61">
        <v>709183</v>
      </c>
      <c r="AD384" s="59">
        <v>1520960</v>
      </c>
      <c r="AE384" s="35">
        <f t="shared" si="175"/>
        <v>2230143</v>
      </c>
      <c r="AF384" s="10"/>
      <c r="AG384" s="8">
        <v>132</v>
      </c>
      <c r="AH384" s="59">
        <v>17</v>
      </c>
      <c r="AI384" s="59">
        <v>160</v>
      </c>
      <c r="AJ384" s="5">
        <v>40</v>
      </c>
      <c r="AK384" s="10"/>
      <c r="AL384" s="8"/>
      <c r="AM384" s="10"/>
      <c r="AN384" s="35"/>
      <c r="AO384" s="10"/>
      <c r="AP384" s="10"/>
      <c r="AQ384" s="35"/>
      <c r="AR384" s="59">
        <v>86</v>
      </c>
      <c r="AS384" s="59"/>
      <c r="AT384" s="59"/>
      <c r="AU384" s="59"/>
      <c r="AV384" s="62"/>
      <c r="AW384" s="10"/>
      <c r="AX384" s="326"/>
      <c r="AY384" s="5"/>
      <c r="AZ384" s="10"/>
      <c r="BA384" s="8"/>
      <c r="BB384" s="10"/>
      <c r="BC384" s="10"/>
      <c r="BD384" s="10"/>
      <c r="BE384" s="10"/>
      <c r="BF384" s="10"/>
      <c r="BG384" s="10"/>
      <c r="BH384" s="30"/>
      <c r="BI384" s="10"/>
      <c r="BJ384" s="338"/>
      <c r="BK384" s="338"/>
      <c r="BL384" s="303"/>
      <c r="BM384" s="5"/>
      <c r="BN384" s="10"/>
      <c r="BO384" s="8"/>
      <c r="BP384" s="5"/>
      <c r="BQ384" s="10"/>
      <c r="BR384" s="29">
        <v>2001</v>
      </c>
      <c r="BS384" s="64">
        <v>2000</v>
      </c>
      <c r="BT384" s="14">
        <v>16</v>
      </c>
      <c r="BU384" s="10"/>
      <c r="BV384" s="8"/>
      <c r="BW384" s="10"/>
      <c r="BX384" s="10"/>
      <c r="BY384" s="10"/>
      <c r="BZ384" s="10"/>
      <c r="CA384" s="10"/>
      <c r="CB384" s="10"/>
      <c r="CC384" s="221"/>
      <c r="CD384" s="10"/>
      <c r="CE384" s="317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317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  <c r="DD384" s="10"/>
      <c r="DE384" s="10"/>
      <c r="DF384" s="10"/>
      <c r="DG384" s="10"/>
      <c r="DH384" s="10"/>
      <c r="DI384" s="10"/>
      <c r="DJ384" s="10"/>
      <c r="DK384" s="10"/>
      <c r="DL384" s="10"/>
      <c r="DM384" s="10"/>
      <c r="DN384" s="10"/>
      <c r="DO384" s="10"/>
      <c r="DP384" s="10"/>
      <c r="DQ384" s="10"/>
      <c r="DR384" s="10"/>
      <c r="DS384" s="10"/>
      <c r="DT384" s="10"/>
      <c r="DU384" s="10"/>
      <c r="DV384" s="38">
        <f t="shared" si="176"/>
        <v>0</v>
      </c>
      <c r="DW384" s="14" t="str">
        <f t="shared" si="177"/>
        <v>PROB</v>
      </c>
    </row>
    <row r="385" spans="1:127" customFormat="1">
      <c r="A385" s="210">
        <v>36770</v>
      </c>
      <c r="B385" s="211"/>
      <c r="C385" s="8">
        <v>1</v>
      </c>
      <c r="D385" s="59">
        <v>7</v>
      </c>
      <c r="E385" s="59">
        <v>2</v>
      </c>
      <c r="F385" s="59">
        <v>0</v>
      </c>
      <c r="G385" s="59">
        <v>9</v>
      </c>
      <c r="H385" s="59">
        <v>0</v>
      </c>
      <c r="I385" s="59">
        <v>0</v>
      </c>
      <c r="J385" s="59">
        <v>6</v>
      </c>
      <c r="K385" s="59">
        <v>0</v>
      </c>
      <c r="L385" s="59">
        <v>0</v>
      </c>
      <c r="M385" s="59"/>
      <c r="N385" s="59"/>
      <c r="O385" s="59">
        <v>1</v>
      </c>
      <c r="P385" s="59">
        <v>0</v>
      </c>
      <c r="Q385" s="59">
        <v>0</v>
      </c>
      <c r="R385" s="59">
        <v>0</v>
      </c>
      <c r="S385" s="35">
        <f>SUM(C385:R385)</f>
        <v>26</v>
      </c>
      <c r="T385" s="59">
        <v>0</v>
      </c>
      <c r="U385" s="59">
        <v>5</v>
      </c>
      <c r="V385" s="59"/>
      <c r="W385" s="59">
        <v>0</v>
      </c>
      <c r="X385" s="5">
        <v>1</v>
      </c>
      <c r="Y385" s="10"/>
      <c r="Z385" s="61">
        <v>1398861</v>
      </c>
      <c r="AA385" s="59">
        <v>854496</v>
      </c>
      <c r="AB385" s="59"/>
      <c r="AC385" s="61">
        <v>709830</v>
      </c>
      <c r="AD385" s="59">
        <v>843370</v>
      </c>
      <c r="AE385" s="35">
        <f t="shared" si="175"/>
        <v>1553200</v>
      </c>
      <c r="AF385" s="10"/>
      <c r="AG385" s="8">
        <v>85</v>
      </c>
      <c r="AH385" s="59">
        <v>59</v>
      </c>
      <c r="AI385" s="59">
        <v>154</v>
      </c>
      <c r="AJ385" s="5">
        <v>24</v>
      </c>
      <c r="AK385" s="10"/>
      <c r="AL385" s="8"/>
      <c r="AM385" s="10"/>
      <c r="AN385" s="35"/>
      <c r="AO385" s="10"/>
      <c r="AP385" s="10"/>
      <c r="AQ385" s="35"/>
      <c r="AR385" s="59">
        <v>89</v>
      </c>
      <c r="AS385" s="59"/>
      <c r="AT385" s="59"/>
      <c r="AU385" s="59"/>
      <c r="AV385" s="62"/>
      <c r="AW385" s="10"/>
      <c r="AX385" s="326"/>
      <c r="AY385" s="5"/>
      <c r="AZ385" s="10"/>
      <c r="BA385" s="8">
        <v>1708</v>
      </c>
      <c r="BB385" s="10">
        <v>37218342</v>
      </c>
      <c r="BC385" s="10"/>
      <c r="BD385" s="10"/>
      <c r="BE385" s="10">
        <v>44</v>
      </c>
      <c r="BF385" s="59">
        <v>9</v>
      </c>
      <c r="BG385" s="59"/>
      <c r="BH385" s="351"/>
      <c r="BI385" s="10">
        <v>1624221</v>
      </c>
      <c r="BJ385" s="338"/>
      <c r="BK385" s="338"/>
      <c r="BL385" s="303"/>
      <c r="BM385" s="5"/>
      <c r="BN385" s="10"/>
      <c r="BO385" s="8"/>
      <c r="BP385" s="5">
        <v>159</v>
      </c>
      <c r="BQ385" s="10"/>
      <c r="BR385" s="68">
        <v>2001</v>
      </c>
      <c r="BS385" s="64">
        <v>2000</v>
      </c>
      <c r="BT385" s="14">
        <v>17</v>
      </c>
      <c r="BU385" s="10"/>
      <c r="BV385" s="8"/>
      <c r="BW385" s="10"/>
      <c r="BX385" s="10"/>
      <c r="BY385" s="10"/>
      <c r="BZ385" s="10"/>
      <c r="CA385" s="10"/>
      <c r="CB385" s="10"/>
      <c r="CC385" s="221"/>
      <c r="CD385" s="10"/>
      <c r="CE385" s="317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317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0"/>
      <c r="DE385" s="10"/>
      <c r="DF385" s="10"/>
      <c r="DG385" s="10"/>
      <c r="DH385" s="10"/>
      <c r="DI385" s="10"/>
      <c r="DJ385" s="10"/>
      <c r="DK385" s="10"/>
      <c r="DL385" s="10"/>
      <c r="DM385" s="10"/>
      <c r="DN385" s="10"/>
      <c r="DO385" s="10"/>
      <c r="DP385" s="10"/>
      <c r="DQ385" s="10"/>
      <c r="DR385" s="10"/>
      <c r="DS385" s="10"/>
      <c r="DT385" s="10"/>
      <c r="DU385" s="10"/>
      <c r="DV385" s="38">
        <f t="shared" si="176"/>
        <v>0</v>
      </c>
      <c r="DW385" s="14" t="str">
        <f t="shared" si="177"/>
        <v>PROB</v>
      </c>
    </row>
    <row r="386" spans="1:127" customFormat="1">
      <c r="A386" s="210">
        <v>36784</v>
      </c>
      <c r="B386" s="211"/>
      <c r="C386" s="8">
        <v>4</v>
      </c>
      <c r="D386" s="59">
        <v>18</v>
      </c>
      <c r="E386" s="59">
        <v>1</v>
      </c>
      <c r="F386" s="59">
        <v>0</v>
      </c>
      <c r="G386" s="59">
        <v>1</v>
      </c>
      <c r="H386" s="59">
        <v>3</v>
      </c>
      <c r="I386" s="59">
        <v>0</v>
      </c>
      <c r="J386" s="59">
        <v>2</v>
      </c>
      <c r="K386" s="59">
        <v>0</v>
      </c>
      <c r="L386" s="59">
        <v>0</v>
      </c>
      <c r="M386" s="59"/>
      <c r="N386" s="59"/>
      <c r="O386" s="59">
        <v>0</v>
      </c>
      <c r="P386" s="59">
        <v>1</v>
      </c>
      <c r="Q386" s="59">
        <v>2</v>
      </c>
      <c r="R386" s="59">
        <v>0</v>
      </c>
      <c r="S386" s="35">
        <f t="shared" ref="S386:S404" si="178">SUM(C386:R386)</f>
        <v>32</v>
      </c>
      <c r="T386" s="59">
        <v>0</v>
      </c>
      <c r="U386" s="59">
        <v>9</v>
      </c>
      <c r="V386" s="59"/>
      <c r="W386" s="59">
        <v>0</v>
      </c>
      <c r="X386" s="5">
        <v>0</v>
      </c>
      <c r="Y386" s="10"/>
      <c r="Z386" s="61">
        <v>1525031</v>
      </c>
      <c r="AA386" s="59">
        <v>1115966</v>
      </c>
      <c r="AB386" s="59"/>
      <c r="AC386" s="61">
        <v>1087478</v>
      </c>
      <c r="AD386" s="59">
        <v>651927</v>
      </c>
      <c r="AE386" s="35">
        <f t="shared" si="175"/>
        <v>1739405</v>
      </c>
      <c r="AF386" s="10"/>
      <c r="AG386" s="8">
        <v>98</v>
      </c>
      <c r="AH386" s="59">
        <v>60</v>
      </c>
      <c r="AI386" s="59">
        <v>170</v>
      </c>
      <c r="AJ386" s="5">
        <v>24</v>
      </c>
      <c r="AK386" s="10"/>
      <c r="AL386" s="8"/>
      <c r="AM386" s="10"/>
      <c r="AN386" s="35"/>
      <c r="AO386" s="10"/>
      <c r="AP386" s="10"/>
      <c r="AQ386" s="35"/>
      <c r="AR386" s="59">
        <v>91</v>
      </c>
      <c r="AS386" s="59"/>
      <c r="AT386" s="59"/>
      <c r="AU386" s="59"/>
      <c r="AV386" s="62"/>
      <c r="AW386" s="10"/>
      <c r="AX386" s="326"/>
      <c r="AY386" s="5"/>
      <c r="AZ386" s="10"/>
      <c r="BA386" s="8"/>
      <c r="BB386" s="10"/>
      <c r="BC386" s="10"/>
      <c r="BD386" s="10"/>
      <c r="BE386" s="10"/>
      <c r="BF386" s="10"/>
      <c r="BG386" s="10"/>
      <c r="BH386" s="30"/>
      <c r="BI386" s="10"/>
      <c r="BJ386" s="338"/>
      <c r="BK386" s="338"/>
      <c r="BL386" s="303"/>
      <c r="BM386" s="5"/>
      <c r="BN386" s="10"/>
      <c r="BO386" s="8"/>
      <c r="BP386" s="5"/>
      <c r="BQ386" s="10"/>
      <c r="BR386" s="29">
        <v>2001</v>
      </c>
      <c r="BS386" s="64">
        <v>2000</v>
      </c>
      <c r="BT386" s="14">
        <v>18</v>
      </c>
      <c r="BU386" s="10"/>
      <c r="BV386" s="8"/>
      <c r="BW386" s="10"/>
      <c r="BX386" s="10"/>
      <c r="BY386" s="10"/>
      <c r="BZ386" s="10"/>
      <c r="CA386" s="10"/>
      <c r="CB386" s="10"/>
      <c r="CC386" s="221"/>
      <c r="CD386" s="10"/>
      <c r="CE386" s="317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317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0"/>
      <c r="DE386" s="10"/>
      <c r="DF386" s="10"/>
      <c r="DG386" s="10"/>
      <c r="DH386" s="10"/>
      <c r="DI386" s="10"/>
      <c r="DJ386" s="10"/>
      <c r="DK386" s="10"/>
      <c r="DL386" s="10"/>
      <c r="DM386" s="10"/>
      <c r="DN386" s="10"/>
      <c r="DO386" s="10"/>
      <c r="DP386" s="10"/>
      <c r="DQ386" s="10"/>
      <c r="DR386" s="10"/>
      <c r="DS386" s="10"/>
      <c r="DT386" s="10"/>
      <c r="DU386" s="10"/>
      <c r="DV386" s="38">
        <f t="shared" si="176"/>
        <v>0</v>
      </c>
      <c r="DW386" s="14" t="str">
        <f t="shared" si="177"/>
        <v>PROB</v>
      </c>
    </row>
    <row r="387" spans="1:127" customFormat="1">
      <c r="A387" s="210">
        <v>36800</v>
      </c>
      <c r="B387" s="211"/>
      <c r="C387" s="8">
        <v>2</v>
      </c>
      <c r="D387" s="59">
        <v>17</v>
      </c>
      <c r="E387" s="59">
        <v>0</v>
      </c>
      <c r="F387" s="59">
        <v>1</v>
      </c>
      <c r="G387" s="59">
        <v>1</v>
      </c>
      <c r="H387" s="59">
        <v>0</v>
      </c>
      <c r="I387" s="59">
        <v>0</v>
      </c>
      <c r="J387" s="59">
        <v>5</v>
      </c>
      <c r="K387" s="59">
        <v>0</v>
      </c>
      <c r="L387" s="59">
        <v>0</v>
      </c>
      <c r="M387" s="59"/>
      <c r="N387" s="59"/>
      <c r="O387" s="59">
        <v>9</v>
      </c>
      <c r="P387" s="59">
        <v>0</v>
      </c>
      <c r="Q387" s="59">
        <v>0</v>
      </c>
      <c r="R387" s="59">
        <v>0</v>
      </c>
      <c r="S387" s="35">
        <f t="shared" si="178"/>
        <v>35</v>
      </c>
      <c r="T387" s="59">
        <v>2</v>
      </c>
      <c r="U387" s="59">
        <v>8</v>
      </c>
      <c r="V387" s="59"/>
      <c r="W387" s="59">
        <v>0</v>
      </c>
      <c r="X387" s="5">
        <v>0</v>
      </c>
      <c r="Y387" s="10"/>
      <c r="Z387" s="61">
        <v>1210233</v>
      </c>
      <c r="AA387" s="59">
        <v>1456204</v>
      </c>
      <c r="AB387" s="59"/>
      <c r="AC387" s="61">
        <v>1384769</v>
      </c>
      <c r="AD387" s="59">
        <v>799017</v>
      </c>
      <c r="AE387" s="35">
        <f t="shared" si="175"/>
        <v>2183786</v>
      </c>
      <c r="AF387" s="10"/>
      <c r="AG387" s="8">
        <v>161</v>
      </c>
      <c r="AH387" s="59">
        <v>1</v>
      </c>
      <c r="AI387" s="59">
        <v>170</v>
      </c>
      <c r="AJ387" s="5">
        <v>24</v>
      </c>
      <c r="AK387" s="10"/>
      <c r="AL387" s="61">
        <v>34</v>
      </c>
      <c r="AM387" s="59">
        <v>83</v>
      </c>
      <c r="AN387" s="35">
        <f>SUM(AL387:AM387)</f>
        <v>117</v>
      </c>
      <c r="AO387" s="59">
        <v>67</v>
      </c>
      <c r="AP387" s="59">
        <v>9</v>
      </c>
      <c r="AQ387" s="35">
        <f>SUM(AO387:AP387)</f>
        <v>76</v>
      </c>
      <c r="AR387" s="59">
        <v>91</v>
      </c>
      <c r="AS387" s="59">
        <v>43</v>
      </c>
      <c r="AT387" s="59">
        <v>99</v>
      </c>
      <c r="AU387" s="59">
        <v>25</v>
      </c>
      <c r="AV387" s="62">
        <v>170</v>
      </c>
      <c r="AW387" s="10"/>
      <c r="AX387" s="326"/>
      <c r="AY387" s="5"/>
      <c r="AZ387" s="10"/>
      <c r="BA387" s="8">
        <v>1708</v>
      </c>
      <c r="BB387" s="10">
        <v>37138540</v>
      </c>
      <c r="BC387" s="10"/>
      <c r="BD387" s="10"/>
      <c r="BE387" s="59">
        <v>29</v>
      </c>
      <c r="BF387" s="59">
        <v>0</v>
      </c>
      <c r="BG387" s="59">
        <v>0</v>
      </c>
      <c r="BH387" s="351"/>
      <c r="BI387" s="59">
        <v>731320</v>
      </c>
      <c r="BJ387" s="342"/>
      <c r="BK387" s="342"/>
      <c r="BL387" s="307"/>
      <c r="BM387" s="5"/>
      <c r="BN387" s="10"/>
      <c r="BO387" s="8"/>
      <c r="BP387" s="5">
        <v>159</v>
      </c>
      <c r="BQ387" s="10"/>
      <c r="BR387" s="29">
        <v>2001</v>
      </c>
      <c r="BS387" s="64">
        <v>2000</v>
      </c>
      <c r="BT387" s="14">
        <v>19</v>
      </c>
      <c r="BU387" s="10"/>
      <c r="BV387" s="8"/>
      <c r="BW387" s="10"/>
      <c r="BX387" s="10"/>
      <c r="BY387" s="10"/>
      <c r="BZ387" s="10"/>
      <c r="CA387" s="10"/>
      <c r="CB387" s="10"/>
      <c r="CC387" s="221"/>
      <c r="CD387" s="10"/>
      <c r="CE387" s="317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317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0"/>
      <c r="DD387" s="10"/>
      <c r="DE387" s="10"/>
      <c r="DF387" s="10"/>
      <c r="DG387" s="10"/>
      <c r="DH387" s="10"/>
      <c r="DI387" s="10"/>
      <c r="DJ387" s="10"/>
      <c r="DK387" s="10"/>
      <c r="DL387" s="10"/>
      <c r="DM387" s="10"/>
      <c r="DN387" s="10"/>
      <c r="DO387" s="10"/>
      <c r="DP387" s="10"/>
      <c r="DQ387" s="10"/>
      <c r="DR387" s="10"/>
      <c r="DS387" s="10"/>
      <c r="DT387" s="10"/>
      <c r="DU387" s="10"/>
      <c r="DV387" s="38">
        <f t="shared" si="176"/>
        <v>0</v>
      </c>
      <c r="DW387" s="14" t="str">
        <f t="shared" si="177"/>
        <v>PROB</v>
      </c>
    </row>
    <row r="388" spans="1:127" customFormat="1">
      <c r="A388" s="210">
        <v>36814</v>
      </c>
      <c r="B388" s="211"/>
      <c r="C388" s="8">
        <v>1</v>
      </c>
      <c r="D388" s="59">
        <v>10</v>
      </c>
      <c r="E388" s="59">
        <v>0</v>
      </c>
      <c r="F388" s="59">
        <v>0</v>
      </c>
      <c r="G388" s="59">
        <v>1</v>
      </c>
      <c r="H388" s="59">
        <v>1</v>
      </c>
      <c r="I388" s="59">
        <v>0</v>
      </c>
      <c r="J388" s="59">
        <v>1</v>
      </c>
      <c r="K388" s="59">
        <v>0</v>
      </c>
      <c r="L388" s="59">
        <v>0</v>
      </c>
      <c r="M388" s="59"/>
      <c r="N388" s="59"/>
      <c r="O388" s="59">
        <v>9</v>
      </c>
      <c r="P388" s="59">
        <v>0</v>
      </c>
      <c r="Q388" s="59">
        <v>0</v>
      </c>
      <c r="R388" s="59">
        <v>0</v>
      </c>
      <c r="S388" s="35">
        <f t="shared" si="178"/>
        <v>23</v>
      </c>
      <c r="T388" s="59">
        <v>9</v>
      </c>
      <c r="U388" s="59">
        <v>5</v>
      </c>
      <c r="V388" s="59"/>
      <c r="W388" s="59">
        <v>0</v>
      </c>
      <c r="X388" s="5">
        <v>1</v>
      </c>
      <c r="Y388" s="10"/>
      <c r="Z388" s="61">
        <v>1389268</v>
      </c>
      <c r="AA388" s="59">
        <v>658268</v>
      </c>
      <c r="AB388" s="59"/>
      <c r="AC388" s="61">
        <v>643659</v>
      </c>
      <c r="AD388" s="59">
        <v>1430411</v>
      </c>
      <c r="AE388" s="35">
        <f t="shared" si="175"/>
        <v>2074070</v>
      </c>
      <c r="AF388" s="10"/>
      <c r="AG388" s="8">
        <v>61</v>
      </c>
      <c r="AH388" s="59">
        <v>66</v>
      </c>
      <c r="AI388" s="59">
        <v>140</v>
      </c>
      <c r="AJ388" s="5">
        <v>20</v>
      </c>
      <c r="AK388" s="10"/>
      <c r="AL388" s="8"/>
      <c r="AM388" s="10"/>
      <c r="AN388" s="35"/>
      <c r="AO388" s="10"/>
      <c r="AP388" s="10"/>
      <c r="AQ388" s="35"/>
      <c r="AR388" s="59">
        <v>97</v>
      </c>
      <c r="AS388" s="59"/>
      <c r="AT388" s="59"/>
      <c r="AU388" s="59"/>
      <c r="AV388" s="62"/>
      <c r="AW388" s="10"/>
      <c r="AX388" s="326"/>
      <c r="AY388" s="5"/>
      <c r="AZ388" s="10"/>
      <c r="BA388" s="8"/>
      <c r="BB388" s="10"/>
      <c r="BC388" s="10"/>
      <c r="BD388" s="10"/>
      <c r="BE388" s="10"/>
      <c r="BF388" s="10"/>
      <c r="BG388" s="10"/>
      <c r="BH388" s="30"/>
      <c r="BI388" s="10"/>
      <c r="BJ388" s="338"/>
      <c r="BK388" s="338"/>
      <c r="BL388" s="303"/>
      <c r="BM388" s="5"/>
      <c r="BN388" s="10"/>
      <c r="BO388" s="8"/>
      <c r="BP388" s="5"/>
      <c r="BQ388" s="10"/>
      <c r="BR388" s="29">
        <v>2001</v>
      </c>
      <c r="BS388" s="64">
        <v>2000</v>
      </c>
      <c r="BT388" s="14">
        <v>20</v>
      </c>
      <c r="BU388" s="10"/>
      <c r="BV388" s="8"/>
      <c r="BW388" s="10"/>
      <c r="BX388" s="10"/>
      <c r="BY388" s="10"/>
      <c r="BZ388" s="10"/>
      <c r="CA388" s="10"/>
      <c r="CB388" s="10"/>
      <c r="CC388" s="221"/>
      <c r="CD388" s="10"/>
      <c r="CE388" s="317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317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0"/>
      <c r="DD388" s="10"/>
      <c r="DE388" s="10"/>
      <c r="DF388" s="10"/>
      <c r="DG388" s="10"/>
      <c r="DH388" s="10"/>
      <c r="DI388" s="10"/>
      <c r="DJ388" s="10"/>
      <c r="DK388" s="10"/>
      <c r="DL388" s="10"/>
      <c r="DM388" s="10"/>
      <c r="DN388" s="10"/>
      <c r="DO388" s="10"/>
      <c r="DP388" s="10"/>
      <c r="DQ388" s="10"/>
      <c r="DR388" s="10"/>
      <c r="DS388" s="10"/>
      <c r="DT388" s="10"/>
      <c r="DU388" s="10"/>
      <c r="DV388" s="38">
        <f t="shared" si="176"/>
        <v>0</v>
      </c>
      <c r="DW388" s="14" t="str">
        <f t="shared" si="177"/>
        <v>PROB</v>
      </c>
    </row>
    <row r="389" spans="1:127" customFormat="1">
      <c r="A389" s="210">
        <v>36831</v>
      </c>
      <c r="B389" s="211"/>
      <c r="C389" s="8">
        <v>4</v>
      </c>
      <c r="D389" s="59">
        <v>12</v>
      </c>
      <c r="E389" s="59">
        <v>1</v>
      </c>
      <c r="F389" s="59">
        <v>0</v>
      </c>
      <c r="G389" s="59">
        <v>0</v>
      </c>
      <c r="H389" s="59">
        <v>0</v>
      </c>
      <c r="I389" s="59">
        <v>0</v>
      </c>
      <c r="J389" s="59">
        <v>15</v>
      </c>
      <c r="K389" s="59">
        <v>0</v>
      </c>
      <c r="L389" s="59">
        <v>0</v>
      </c>
      <c r="M389" s="59"/>
      <c r="N389" s="59"/>
      <c r="O389" s="59">
        <v>12</v>
      </c>
      <c r="P389" s="59">
        <v>0</v>
      </c>
      <c r="Q389" s="59">
        <v>0</v>
      </c>
      <c r="R389" s="59">
        <v>0</v>
      </c>
      <c r="S389" s="35">
        <f t="shared" si="178"/>
        <v>44</v>
      </c>
      <c r="T389" s="59">
        <v>6</v>
      </c>
      <c r="U389" s="59">
        <v>4</v>
      </c>
      <c r="V389" s="59"/>
      <c r="W389" s="59">
        <v>0</v>
      </c>
      <c r="X389" s="5">
        <v>0</v>
      </c>
      <c r="Y389" s="10"/>
      <c r="Z389" s="61">
        <v>1707679</v>
      </c>
      <c r="AA389" s="59">
        <v>943406</v>
      </c>
      <c r="AB389" s="59"/>
      <c r="AC389" s="61">
        <v>730650</v>
      </c>
      <c r="AD389" s="59">
        <v>1096170</v>
      </c>
      <c r="AE389" s="35">
        <f t="shared" si="175"/>
        <v>1826820</v>
      </c>
      <c r="AF389" s="10"/>
      <c r="AG389" s="8">
        <v>73</v>
      </c>
      <c r="AH389" s="59">
        <v>70</v>
      </c>
      <c r="AI389" s="59">
        <v>156</v>
      </c>
      <c r="AJ389" s="5">
        <v>24</v>
      </c>
      <c r="AK389" s="10"/>
      <c r="AL389" s="8"/>
      <c r="AM389" s="10"/>
      <c r="AN389" s="35"/>
      <c r="AO389" s="10"/>
      <c r="AP389" s="10"/>
      <c r="AQ389" s="35"/>
      <c r="AR389" s="59">
        <v>103</v>
      </c>
      <c r="AS389" s="59"/>
      <c r="AT389" s="59"/>
      <c r="AU389" s="59"/>
      <c r="AV389" s="62"/>
      <c r="AW389" s="10"/>
      <c r="AX389" s="326"/>
      <c r="AY389" s="5"/>
      <c r="AZ389" s="10"/>
      <c r="BA389" s="8">
        <v>1688</v>
      </c>
      <c r="BB389" s="10">
        <v>36687609</v>
      </c>
      <c r="BC389" s="10"/>
      <c r="BD389" s="10"/>
      <c r="BE389" s="59">
        <v>71</v>
      </c>
      <c r="BF389" s="59">
        <v>13</v>
      </c>
      <c r="BG389" s="59">
        <v>33</v>
      </c>
      <c r="BH389" s="351"/>
      <c r="BI389" s="10">
        <v>2580260</v>
      </c>
      <c r="BJ389" s="338"/>
      <c r="BK389" s="338"/>
      <c r="BL389" s="303"/>
      <c r="BM389" s="5"/>
      <c r="BN389" s="10"/>
      <c r="BO389" s="8"/>
      <c r="BP389" s="5">
        <v>159</v>
      </c>
      <c r="BQ389" s="10"/>
      <c r="BR389" s="29">
        <v>2001</v>
      </c>
      <c r="BS389" s="64">
        <v>2000</v>
      </c>
      <c r="BT389" s="14">
        <v>21</v>
      </c>
      <c r="BU389" s="10"/>
      <c r="BV389" s="8"/>
      <c r="BW389" s="10"/>
      <c r="BX389" s="10"/>
      <c r="BY389" s="10"/>
      <c r="BZ389" s="10"/>
      <c r="CA389" s="10"/>
      <c r="CB389" s="10"/>
      <c r="CC389" s="221"/>
      <c r="CD389" s="10"/>
      <c r="CE389" s="317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317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0"/>
      <c r="DD389" s="10"/>
      <c r="DE389" s="10"/>
      <c r="DF389" s="10"/>
      <c r="DG389" s="10"/>
      <c r="DH389" s="10"/>
      <c r="DI389" s="10"/>
      <c r="DJ389" s="10"/>
      <c r="DK389" s="10"/>
      <c r="DL389" s="10"/>
      <c r="DM389" s="10"/>
      <c r="DN389" s="10"/>
      <c r="DO389" s="10"/>
      <c r="DP389" s="10"/>
      <c r="DQ389" s="10"/>
      <c r="DR389" s="10"/>
      <c r="DS389" s="10"/>
      <c r="DT389" s="10"/>
      <c r="DU389" s="10"/>
      <c r="DV389" s="38">
        <f t="shared" si="176"/>
        <v>0</v>
      </c>
      <c r="DW389" s="14" t="str">
        <f t="shared" si="177"/>
        <v>PROB</v>
      </c>
    </row>
    <row r="390" spans="1:127" customFormat="1">
      <c r="A390" s="210">
        <v>36845</v>
      </c>
      <c r="B390" s="211"/>
      <c r="C390" s="8">
        <v>1</v>
      </c>
      <c r="D390" s="59">
        <v>29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5</v>
      </c>
      <c r="K390" s="59">
        <v>1</v>
      </c>
      <c r="L390" s="59">
        <v>0</v>
      </c>
      <c r="M390" s="59"/>
      <c r="N390" s="59"/>
      <c r="O390" s="59">
        <v>18</v>
      </c>
      <c r="P390" s="59">
        <v>1</v>
      </c>
      <c r="Q390" s="59">
        <v>0</v>
      </c>
      <c r="R390" s="59">
        <v>0</v>
      </c>
      <c r="S390" s="35">
        <f t="shared" si="178"/>
        <v>58</v>
      </c>
      <c r="T390" s="59">
        <v>12</v>
      </c>
      <c r="U390" s="59">
        <v>10</v>
      </c>
      <c r="V390" s="59"/>
      <c r="W390" s="59">
        <v>0</v>
      </c>
      <c r="X390" s="5">
        <v>0</v>
      </c>
      <c r="Y390" s="10"/>
      <c r="Z390" s="61">
        <v>1636218</v>
      </c>
      <c r="AA390" s="59">
        <v>864904</v>
      </c>
      <c r="AB390" s="59"/>
      <c r="AC390" s="61">
        <v>794713</v>
      </c>
      <c r="AD390" s="59">
        <v>1491664</v>
      </c>
      <c r="AE390" s="35">
        <f t="shared" si="175"/>
        <v>2286377</v>
      </c>
      <c r="AF390" s="10"/>
      <c r="AG390" s="8">
        <v>80</v>
      </c>
      <c r="AH390" s="59">
        <v>73</v>
      </c>
      <c r="AI390" s="59">
        <v>168</v>
      </c>
      <c r="AJ390" s="5">
        <v>32</v>
      </c>
      <c r="AK390" s="10"/>
      <c r="AL390" s="8"/>
      <c r="AM390" s="10"/>
      <c r="AN390" s="35"/>
      <c r="AO390" s="10"/>
      <c r="AP390" s="10"/>
      <c r="AQ390" s="35"/>
      <c r="AR390" s="59">
        <v>107</v>
      </c>
      <c r="AS390" s="59"/>
      <c r="AT390" s="59"/>
      <c r="AU390" s="59"/>
      <c r="AV390" s="62"/>
      <c r="AW390" s="10"/>
      <c r="AX390" s="326"/>
      <c r="AY390" s="5"/>
      <c r="AZ390" s="10"/>
      <c r="BA390" s="8"/>
      <c r="BB390" s="10"/>
      <c r="BC390" s="10"/>
      <c r="BD390" s="10"/>
      <c r="BE390" s="10"/>
      <c r="BF390" s="10"/>
      <c r="BG390" s="10"/>
      <c r="BH390" s="30"/>
      <c r="BI390" s="10"/>
      <c r="BJ390" s="338"/>
      <c r="BK390" s="338"/>
      <c r="BL390" s="303"/>
      <c r="BM390" s="5"/>
      <c r="BN390" s="10"/>
      <c r="BO390" s="8"/>
      <c r="BP390" s="5"/>
      <c r="BQ390" s="10"/>
      <c r="BR390" s="29">
        <v>2001</v>
      </c>
      <c r="BS390" s="64">
        <v>2000</v>
      </c>
      <c r="BT390" s="14">
        <v>22</v>
      </c>
      <c r="BU390" s="10"/>
      <c r="BV390" s="8"/>
      <c r="BW390" s="10"/>
      <c r="BX390" s="10"/>
      <c r="BY390" s="10"/>
      <c r="BZ390" s="10"/>
      <c r="CA390" s="10"/>
      <c r="CB390" s="10"/>
      <c r="CC390" s="221"/>
      <c r="CD390" s="10"/>
      <c r="CE390" s="317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317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0"/>
      <c r="DD390" s="10"/>
      <c r="DE390" s="10"/>
      <c r="DF390" s="10"/>
      <c r="DG390" s="10"/>
      <c r="DH390" s="10"/>
      <c r="DI390" s="10"/>
      <c r="DJ390" s="10"/>
      <c r="DK390" s="10"/>
      <c r="DL390" s="10"/>
      <c r="DM390" s="10"/>
      <c r="DN390" s="10"/>
      <c r="DO390" s="10"/>
      <c r="DP390" s="10"/>
      <c r="DQ390" s="10"/>
      <c r="DR390" s="10"/>
      <c r="DS390" s="10"/>
      <c r="DT390" s="10"/>
      <c r="DU390" s="10"/>
      <c r="DV390" s="38">
        <f t="shared" si="176"/>
        <v>0</v>
      </c>
      <c r="DW390" s="14" t="str">
        <f t="shared" si="177"/>
        <v>PROB</v>
      </c>
    </row>
    <row r="391" spans="1:127" customFormat="1">
      <c r="A391" s="210">
        <v>36861</v>
      </c>
      <c r="B391" s="211"/>
      <c r="C391" s="8">
        <v>2</v>
      </c>
      <c r="D391" s="59">
        <v>15</v>
      </c>
      <c r="E391" s="59">
        <v>0</v>
      </c>
      <c r="F391" s="59">
        <v>0</v>
      </c>
      <c r="G391" s="59">
        <v>3</v>
      </c>
      <c r="H391" s="59">
        <v>0</v>
      </c>
      <c r="I391" s="59">
        <v>0</v>
      </c>
      <c r="J391" s="59">
        <v>11</v>
      </c>
      <c r="K391" s="59">
        <v>0</v>
      </c>
      <c r="L391" s="59">
        <v>0</v>
      </c>
      <c r="M391" s="59"/>
      <c r="N391" s="59"/>
      <c r="O391" s="59">
        <v>10</v>
      </c>
      <c r="P391" s="59">
        <v>0</v>
      </c>
      <c r="Q391" s="59">
        <v>0</v>
      </c>
      <c r="R391" s="59">
        <v>0</v>
      </c>
      <c r="S391" s="35">
        <f t="shared" si="178"/>
        <v>41</v>
      </c>
      <c r="T391" s="59">
        <v>8</v>
      </c>
      <c r="U391" s="59">
        <v>6</v>
      </c>
      <c r="V391" s="59"/>
      <c r="W391" s="59">
        <v>0</v>
      </c>
      <c r="X391" s="5">
        <v>2</v>
      </c>
      <c r="Y391" s="10"/>
      <c r="Z391" s="61">
        <v>1583759</v>
      </c>
      <c r="AA391" s="59">
        <v>748821</v>
      </c>
      <c r="AB391" s="59"/>
      <c r="AC391" s="61">
        <v>591607</v>
      </c>
      <c r="AD391" s="59">
        <v>959730</v>
      </c>
      <c r="AE391" s="35">
        <f t="shared" si="175"/>
        <v>1551337</v>
      </c>
      <c r="AF391" s="10"/>
      <c r="AG391" s="8">
        <v>60</v>
      </c>
      <c r="AH391" s="59">
        <v>78</v>
      </c>
      <c r="AI391" s="59">
        <v>160</v>
      </c>
      <c r="AJ391" s="5">
        <v>28</v>
      </c>
      <c r="AK391" s="10"/>
      <c r="AL391" s="8"/>
      <c r="AM391" s="10"/>
      <c r="AN391" s="35"/>
      <c r="AO391" s="10"/>
      <c r="AP391" s="10"/>
      <c r="AQ391" s="35"/>
      <c r="AR391" s="59">
        <v>107</v>
      </c>
      <c r="AS391" s="59"/>
      <c r="AT391" s="59"/>
      <c r="AU391" s="59"/>
      <c r="AV391" s="62"/>
      <c r="AW391" s="10"/>
      <c r="AX391" s="326"/>
      <c r="AY391" s="5"/>
      <c r="AZ391" s="10"/>
      <c r="BA391" s="8">
        <v>1690</v>
      </c>
      <c r="BB391" s="10">
        <v>36384162</v>
      </c>
      <c r="BC391" s="10"/>
      <c r="BD391" s="10"/>
      <c r="BE391" s="10">
        <v>61</v>
      </c>
      <c r="BF391" s="59">
        <v>2</v>
      </c>
      <c r="BG391" s="59">
        <v>0</v>
      </c>
      <c r="BH391" s="351"/>
      <c r="BI391" s="59">
        <v>2453908</v>
      </c>
      <c r="BJ391" s="342"/>
      <c r="BK391" s="342"/>
      <c r="BL391" s="307"/>
      <c r="BM391" s="5"/>
      <c r="BN391" s="10"/>
      <c r="BO391" s="8"/>
      <c r="BP391" s="5">
        <v>159</v>
      </c>
      <c r="BQ391" s="10"/>
      <c r="BR391" s="29">
        <v>2001</v>
      </c>
      <c r="BS391" s="64">
        <v>2000</v>
      </c>
      <c r="BT391" s="14">
        <v>23</v>
      </c>
      <c r="BU391" s="10"/>
      <c r="BV391" s="8"/>
      <c r="BW391" s="10"/>
      <c r="BX391" s="10"/>
      <c r="BY391" s="10"/>
      <c r="BZ391" s="10"/>
      <c r="CA391" s="10"/>
      <c r="CB391" s="10"/>
      <c r="CC391" s="221"/>
      <c r="CD391" s="10"/>
      <c r="CE391" s="317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317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0"/>
      <c r="DD391" s="10"/>
      <c r="DE391" s="10"/>
      <c r="DF391" s="10"/>
      <c r="DG391" s="10"/>
      <c r="DH391" s="10"/>
      <c r="DI391" s="10"/>
      <c r="DJ391" s="10"/>
      <c r="DK391" s="10"/>
      <c r="DL391" s="10"/>
      <c r="DM391" s="10"/>
      <c r="DN391" s="10"/>
      <c r="DO391" s="10"/>
      <c r="DP391" s="10"/>
      <c r="DQ391" s="10"/>
      <c r="DR391" s="10"/>
      <c r="DS391" s="10"/>
      <c r="DT391" s="10"/>
      <c r="DU391" s="10"/>
      <c r="DV391" s="38">
        <f t="shared" si="176"/>
        <v>0</v>
      </c>
      <c r="DW391" s="14" t="str">
        <f t="shared" si="177"/>
        <v>PROB</v>
      </c>
    </row>
    <row r="392" spans="1:127" customFormat="1">
      <c r="A392" s="210">
        <v>36875</v>
      </c>
      <c r="B392" s="211"/>
      <c r="C392" s="8">
        <v>3</v>
      </c>
      <c r="D392" s="59">
        <v>17</v>
      </c>
      <c r="E392" s="59">
        <v>0</v>
      </c>
      <c r="F392" s="59">
        <v>0</v>
      </c>
      <c r="G392" s="59">
        <v>3</v>
      </c>
      <c r="H392" s="59">
        <v>4</v>
      </c>
      <c r="I392" s="59">
        <v>0</v>
      </c>
      <c r="J392" s="59">
        <v>9</v>
      </c>
      <c r="K392" s="59">
        <v>0</v>
      </c>
      <c r="L392" s="59">
        <v>0</v>
      </c>
      <c r="M392" s="59"/>
      <c r="N392" s="59"/>
      <c r="O392" s="59">
        <v>10</v>
      </c>
      <c r="P392" s="59">
        <v>0</v>
      </c>
      <c r="Q392" s="59">
        <v>0</v>
      </c>
      <c r="R392" s="59">
        <v>0</v>
      </c>
      <c r="S392" s="35">
        <f t="shared" si="178"/>
        <v>46</v>
      </c>
      <c r="T392" s="59">
        <v>6</v>
      </c>
      <c r="U392" s="59">
        <v>4</v>
      </c>
      <c r="V392" s="59"/>
      <c r="W392" s="59">
        <v>0</v>
      </c>
      <c r="X392" s="5">
        <v>0</v>
      </c>
      <c r="Y392" s="10"/>
      <c r="Z392" s="61">
        <v>1160210</v>
      </c>
      <c r="AA392" s="59">
        <v>1515668</v>
      </c>
      <c r="AB392" s="59"/>
      <c r="AC392" s="61">
        <v>1377970</v>
      </c>
      <c r="AD392" s="59">
        <v>1024934</v>
      </c>
      <c r="AE392" s="35">
        <f t="shared" si="175"/>
        <v>2402904</v>
      </c>
      <c r="AF392" s="10"/>
      <c r="AG392" s="8">
        <v>155</v>
      </c>
      <c r="AH392" s="59">
        <v>1</v>
      </c>
      <c r="AI392" s="59">
        <v>168</v>
      </c>
      <c r="AJ392" s="5">
        <v>28</v>
      </c>
      <c r="AK392" s="10"/>
      <c r="AL392" s="8"/>
      <c r="AM392" s="10"/>
      <c r="AN392" s="35"/>
      <c r="AO392" s="10"/>
      <c r="AP392" s="10"/>
      <c r="AQ392" s="35"/>
      <c r="AR392" s="59">
        <v>112</v>
      </c>
      <c r="AS392" s="59"/>
      <c r="AT392" s="59"/>
      <c r="AU392" s="59"/>
      <c r="AV392" s="62"/>
      <c r="AW392" s="10"/>
      <c r="AX392" s="326"/>
      <c r="AY392" s="5"/>
      <c r="AZ392" s="10"/>
      <c r="BA392" s="8"/>
      <c r="BB392" s="10"/>
      <c r="BC392" s="10"/>
      <c r="BD392" s="10"/>
      <c r="BE392" s="10"/>
      <c r="BF392" s="10"/>
      <c r="BG392" s="10"/>
      <c r="BH392" s="30"/>
      <c r="BI392" s="10"/>
      <c r="BJ392" s="338"/>
      <c r="BK392" s="338"/>
      <c r="BL392" s="303"/>
      <c r="BM392" s="5"/>
      <c r="BN392" s="10"/>
      <c r="BO392" s="8"/>
      <c r="BP392" s="5"/>
      <c r="BQ392" s="10"/>
      <c r="BR392" s="29">
        <v>2001</v>
      </c>
      <c r="BS392" s="64">
        <v>2000</v>
      </c>
      <c r="BT392" s="14">
        <v>24</v>
      </c>
      <c r="BU392" s="10"/>
      <c r="BV392" s="8"/>
      <c r="BW392" s="10"/>
      <c r="BX392" s="10"/>
      <c r="BY392" s="10"/>
      <c r="BZ392" s="10"/>
      <c r="CA392" s="10"/>
      <c r="CB392" s="10"/>
      <c r="CC392" s="221"/>
      <c r="CD392" s="10"/>
      <c r="CE392" s="317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317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0"/>
      <c r="DD392" s="10"/>
      <c r="DE392" s="10"/>
      <c r="DF392" s="10"/>
      <c r="DG392" s="10"/>
      <c r="DH392" s="10"/>
      <c r="DI392" s="10"/>
      <c r="DJ392" s="10"/>
      <c r="DK392" s="10"/>
      <c r="DL392" s="10"/>
      <c r="DM392" s="10"/>
      <c r="DN392" s="10"/>
      <c r="DO392" s="10"/>
      <c r="DP392" s="10"/>
      <c r="DQ392" s="10"/>
      <c r="DR392" s="10"/>
      <c r="DS392" s="10"/>
      <c r="DT392" s="10"/>
      <c r="DU392" s="10"/>
      <c r="DV392" s="38">
        <f t="shared" si="176"/>
        <v>0</v>
      </c>
      <c r="DW392" s="14" t="str">
        <f t="shared" si="177"/>
        <v>PROB</v>
      </c>
    </row>
    <row r="393" spans="1:127" customFormat="1">
      <c r="A393" s="210">
        <v>36892</v>
      </c>
      <c r="B393" s="211"/>
      <c r="C393" s="8">
        <v>1</v>
      </c>
      <c r="D393" s="59">
        <v>10</v>
      </c>
      <c r="E393" s="59">
        <v>0</v>
      </c>
      <c r="F393" s="59">
        <v>0</v>
      </c>
      <c r="G393" s="59">
        <v>1</v>
      </c>
      <c r="H393" s="59">
        <v>0</v>
      </c>
      <c r="I393" s="59">
        <v>0</v>
      </c>
      <c r="J393" s="59">
        <v>4</v>
      </c>
      <c r="K393" s="59">
        <v>0</v>
      </c>
      <c r="L393" s="59">
        <v>0</v>
      </c>
      <c r="M393" s="59"/>
      <c r="N393" s="59"/>
      <c r="O393" s="59">
        <v>2</v>
      </c>
      <c r="P393" s="59">
        <v>0</v>
      </c>
      <c r="Q393" s="59">
        <v>0</v>
      </c>
      <c r="R393" s="59">
        <v>0</v>
      </c>
      <c r="S393" s="35">
        <f t="shared" si="178"/>
        <v>18</v>
      </c>
      <c r="T393" s="59">
        <v>1</v>
      </c>
      <c r="U393" s="59">
        <v>4</v>
      </c>
      <c r="V393" s="59"/>
      <c r="W393" s="59">
        <v>0</v>
      </c>
      <c r="X393" s="5">
        <v>0</v>
      </c>
      <c r="Y393" s="10"/>
      <c r="Z393" s="61">
        <v>1482993</v>
      </c>
      <c r="AA393" s="59">
        <v>593999</v>
      </c>
      <c r="AB393" s="59"/>
      <c r="AC393" s="61">
        <v>539604</v>
      </c>
      <c r="AD393" s="59">
        <v>515407</v>
      </c>
      <c r="AE393" s="35">
        <f t="shared" si="175"/>
        <v>1055011</v>
      </c>
      <c r="AF393" s="10"/>
      <c r="AG393" s="8">
        <v>38</v>
      </c>
      <c r="AH393" s="59">
        <v>85</v>
      </c>
      <c r="AI393" s="59">
        <v>138</v>
      </c>
      <c r="AJ393" s="5">
        <v>20</v>
      </c>
      <c r="AK393" s="10"/>
      <c r="AL393" s="8">
        <v>34</v>
      </c>
      <c r="AM393" s="59">
        <v>83</v>
      </c>
      <c r="AN393" s="35">
        <f>SUM(AL393:AM393)</f>
        <v>117</v>
      </c>
      <c r="AO393" s="59">
        <v>65</v>
      </c>
      <c r="AP393" s="59">
        <v>9</v>
      </c>
      <c r="AQ393" s="35">
        <f>SUM(AO393:AP393)</f>
        <v>74</v>
      </c>
      <c r="AR393" s="59">
        <v>111</v>
      </c>
      <c r="AS393" s="59">
        <v>56</v>
      </c>
      <c r="AT393" s="59">
        <v>128</v>
      </c>
      <c r="AU393" s="59">
        <v>35</v>
      </c>
      <c r="AV393" s="62">
        <v>219</v>
      </c>
      <c r="AW393" s="10"/>
      <c r="AX393" s="326"/>
      <c r="AY393" s="5"/>
      <c r="AZ393" s="10"/>
      <c r="BA393" s="8">
        <v>1690</v>
      </c>
      <c r="BB393" s="59">
        <v>36254993</v>
      </c>
      <c r="BC393" s="10"/>
      <c r="BD393" s="10"/>
      <c r="BE393" s="59">
        <v>38</v>
      </c>
      <c r="BF393" s="59">
        <v>2</v>
      </c>
      <c r="BG393" s="59">
        <v>2</v>
      </c>
      <c r="BH393" s="351"/>
      <c r="BI393" s="59">
        <v>1550769</v>
      </c>
      <c r="BJ393" s="342"/>
      <c r="BK393" s="342"/>
      <c r="BL393" s="307"/>
      <c r="BM393" s="5">
        <f>360+526+828+535+279+325+437+293+382+203</f>
        <v>4168</v>
      </c>
      <c r="BN393" s="10"/>
      <c r="BO393" s="8"/>
      <c r="BP393" s="62">
        <v>158</v>
      </c>
      <c r="BQ393" s="10"/>
      <c r="BR393" s="29">
        <v>2001</v>
      </c>
      <c r="BS393" s="64">
        <v>2001</v>
      </c>
      <c r="BT393" s="14">
        <v>1</v>
      </c>
      <c r="BU393" s="10"/>
      <c r="BV393" s="8"/>
      <c r="BW393" s="10"/>
      <c r="BX393" s="10"/>
      <c r="BY393" s="10"/>
      <c r="BZ393" s="10"/>
      <c r="CA393" s="10"/>
      <c r="CB393" s="10"/>
      <c r="CC393" s="221"/>
      <c r="CD393" s="10"/>
      <c r="CE393" s="317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317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  <c r="DD393" s="10"/>
      <c r="DE393" s="10"/>
      <c r="DF393" s="10"/>
      <c r="DG393" s="10"/>
      <c r="DH393" s="10"/>
      <c r="DI393" s="10"/>
      <c r="DJ393" s="10"/>
      <c r="DK393" s="10"/>
      <c r="DL393" s="10"/>
      <c r="DM393" s="10"/>
      <c r="DN393" s="10"/>
      <c r="DO393" s="10"/>
      <c r="DP393" s="10"/>
      <c r="DQ393" s="10"/>
      <c r="DR393" s="10"/>
      <c r="DS393" s="10"/>
      <c r="DT393" s="10"/>
      <c r="DU393" s="10"/>
      <c r="DV393" s="38">
        <f t="shared" si="176"/>
        <v>0</v>
      </c>
      <c r="DW393" s="14" t="str">
        <f t="shared" si="177"/>
        <v>PROB</v>
      </c>
    </row>
    <row r="394" spans="1:127" customFormat="1">
      <c r="A394" s="210">
        <v>36906</v>
      </c>
      <c r="B394" s="211"/>
      <c r="C394" s="8">
        <v>0</v>
      </c>
      <c r="D394" s="59">
        <v>5</v>
      </c>
      <c r="E394" s="59">
        <v>0</v>
      </c>
      <c r="F394" s="59">
        <v>0</v>
      </c>
      <c r="G394" s="59">
        <v>1</v>
      </c>
      <c r="H394" s="59">
        <v>0</v>
      </c>
      <c r="I394" s="59">
        <v>0</v>
      </c>
      <c r="J394" s="59">
        <v>2</v>
      </c>
      <c r="K394" s="59">
        <v>0</v>
      </c>
      <c r="L394" s="59">
        <v>0</v>
      </c>
      <c r="M394" s="59"/>
      <c r="N394" s="59"/>
      <c r="O394" s="59">
        <v>0</v>
      </c>
      <c r="P394" s="59">
        <v>0</v>
      </c>
      <c r="Q394" s="59">
        <v>0</v>
      </c>
      <c r="R394" s="59">
        <v>0</v>
      </c>
      <c r="S394" s="35">
        <f t="shared" si="178"/>
        <v>8</v>
      </c>
      <c r="T394" s="59">
        <v>0</v>
      </c>
      <c r="U394" s="59">
        <v>0</v>
      </c>
      <c r="V394" s="59"/>
      <c r="W394" s="59">
        <v>0</v>
      </c>
      <c r="X394" s="5">
        <v>0</v>
      </c>
      <c r="Y394" s="10"/>
      <c r="Z394" s="61">
        <v>1423950</v>
      </c>
      <c r="AA394" s="59">
        <v>166531</v>
      </c>
      <c r="AB394" s="59"/>
      <c r="AC394" s="61">
        <v>136680</v>
      </c>
      <c r="AD394" s="59">
        <v>564507</v>
      </c>
      <c r="AE394" s="35">
        <f t="shared" si="175"/>
        <v>701187</v>
      </c>
      <c r="AF394" s="10"/>
      <c r="AG394" s="8">
        <v>19</v>
      </c>
      <c r="AH394" s="59">
        <v>92</v>
      </c>
      <c r="AI394" s="59">
        <v>124</v>
      </c>
      <c r="AJ394" s="5">
        <v>16</v>
      </c>
      <c r="AK394" s="10"/>
      <c r="AL394" s="8"/>
      <c r="AM394" s="10"/>
      <c r="AN394" s="35"/>
      <c r="AO394" s="10"/>
      <c r="AP394" s="10"/>
      <c r="AQ394" s="35"/>
      <c r="AR394" s="59">
        <v>112</v>
      </c>
      <c r="AS394" s="59"/>
      <c r="AT394" s="59"/>
      <c r="AU394" s="59"/>
      <c r="AV394" s="62"/>
      <c r="AW394" s="10"/>
      <c r="AX394" s="326"/>
      <c r="AY394" s="5"/>
      <c r="AZ394" s="10"/>
      <c r="BA394" s="8"/>
      <c r="BB394" s="10"/>
      <c r="BC394" s="10"/>
      <c r="BD394" s="10"/>
      <c r="BE394" s="59"/>
      <c r="BF394" s="59"/>
      <c r="BG394" s="59"/>
      <c r="BH394" s="351"/>
      <c r="BI394" s="59"/>
      <c r="BJ394" s="342"/>
      <c r="BK394" s="342"/>
      <c r="BL394" s="307"/>
      <c r="BM394" s="5"/>
      <c r="BN394" s="10"/>
      <c r="BO394" s="8"/>
      <c r="BP394" s="62"/>
      <c r="BQ394" s="10"/>
      <c r="BR394" s="29">
        <v>2001</v>
      </c>
      <c r="BS394" s="64">
        <v>2001</v>
      </c>
      <c r="BT394" s="14">
        <v>2</v>
      </c>
      <c r="BU394" s="10"/>
      <c r="BV394" s="8"/>
      <c r="BW394" s="10"/>
      <c r="BX394" s="10"/>
      <c r="BY394" s="10"/>
      <c r="BZ394" s="10"/>
      <c r="CA394" s="10"/>
      <c r="CB394" s="10"/>
      <c r="CC394" s="221"/>
      <c r="CD394" s="10"/>
      <c r="CE394" s="317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317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  <c r="DG394" s="10"/>
      <c r="DH394" s="10"/>
      <c r="DI394" s="10"/>
      <c r="DJ394" s="10"/>
      <c r="DK394" s="10"/>
      <c r="DL394" s="10"/>
      <c r="DM394" s="10"/>
      <c r="DN394" s="10"/>
      <c r="DO394" s="10"/>
      <c r="DP394" s="10"/>
      <c r="DQ394" s="10"/>
      <c r="DR394" s="10"/>
      <c r="DS394" s="10"/>
      <c r="DT394" s="10"/>
      <c r="DU394" s="10"/>
      <c r="DV394" s="38">
        <f t="shared" si="176"/>
        <v>0</v>
      </c>
      <c r="DW394" s="14" t="str">
        <f t="shared" si="177"/>
        <v>PROB</v>
      </c>
    </row>
    <row r="395" spans="1:127" customFormat="1">
      <c r="A395" s="210">
        <v>36923</v>
      </c>
      <c r="B395" s="211"/>
      <c r="C395" s="8">
        <v>0</v>
      </c>
      <c r="D395" s="59">
        <v>25</v>
      </c>
      <c r="E395" s="59">
        <v>2</v>
      </c>
      <c r="F395" s="59">
        <v>0</v>
      </c>
      <c r="G395" s="59">
        <v>4</v>
      </c>
      <c r="H395" s="59">
        <v>3</v>
      </c>
      <c r="I395" s="59">
        <v>0</v>
      </c>
      <c r="J395" s="59">
        <v>9</v>
      </c>
      <c r="K395" s="59">
        <v>0</v>
      </c>
      <c r="L395" s="59">
        <v>0</v>
      </c>
      <c r="M395" s="59"/>
      <c r="N395" s="59"/>
      <c r="O395" s="59">
        <v>3</v>
      </c>
      <c r="P395" s="59">
        <v>1</v>
      </c>
      <c r="Q395" s="59">
        <v>0</v>
      </c>
      <c r="R395" s="59">
        <v>0</v>
      </c>
      <c r="S395" s="35">
        <f t="shared" si="178"/>
        <v>47</v>
      </c>
      <c r="T395" s="59">
        <v>0</v>
      </c>
      <c r="U395" s="59">
        <v>9</v>
      </c>
      <c r="V395" s="59"/>
      <c r="W395" s="59">
        <v>0</v>
      </c>
      <c r="X395" s="5">
        <v>0</v>
      </c>
      <c r="Y395" s="10"/>
      <c r="Z395" s="61">
        <v>794484</v>
      </c>
      <c r="AA395" s="59">
        <v>971717</v>
      </c>
      <c r="AB395" s="59"/>
      <c r="AC395" s="61">
        <v>853292</v>
      </c>
      <c r="AD395" s="59">
        <v>884760</v>
      </c>
      <c r="AE395" s="35">
        <f t="shared" si="175"/>
        <v>1738052</v>
      </c>
      <c r="AF395" s="10"/>
      <c r="AG395" s="8">
        <v>94</v>
      </c>
      <c r="AH395" s="59">
        <v>7</v>
      </c>
      <c r="AI395" s="59">
        <v>114</v>
      </c>
      <c r="AJ395" s="5">
        <v>28</v>
      </c>
      <c r="AK395" s="10"/>
      <c r="AL395" s="8"/>
      <c r="AM395" s="10"/>
      <c r="AN395" s="35"/>
      <c r="AO395" s="10"/>
      <c r="AP395" s="10"/>
      <c r="AQ395" s="35"/>
      <c r="AR395" s="59">
        <v>113</v>
      </c>
      <c r="AS395" s="59"/>
      <c r="AT395" s="59"/>
      <c r="AU395" s="59"/>
      <c r="AV395" s="62"/>
      <c r="AW395" s="10"/>
      <c r="AX395" s="326"/>
      <c r="AY395" s="5"/>
      <c r="AZ395" s="10"/>
      <c r="BA395" s="8">
        <v>1697</v>
      </c>
      <c r="BB395" s="10">
        <v>36132526</v>
      </c>
      <c r="BC395" s="10"/>
      <c r="BD395" s="10"/>
      <c r="BE395" s="59">
        <v>54</v>
      </c>
      <c r="BF395" s="59">
        <v>7</v>
      </c>
      <c r="BG395" s="59">
        <v>0</v>
      </c>
      <c r="BH395" s="351"/>
      <c r="BI395" s="59">
        <v>1865716</v>
      </c>
      <c r="BJ395" s="342"/>
      <c r="BK395" s="342"/>
      <c r="BL395" s="307"/>
      <c r="BM395" s="5"/>
      <c r="BN395" s="10"/>
      <c r="BO395" s="8"/>
      <c r="BP395" s="62">
        <v>158</v>
      </c>
      <c r="BQ395" s="10"/>
      <c r="BR395" s="29">
        <v>2001</v>
      </c>
      <c r="BS395" s="64">
        <v>2001</v>
      </c>
      <c r="BT395" s="14">
        <v>3</v>
      </c>
      <c r="BU395" s="10"/>
      <c r="BV395" s="8"/>
      <c r="BW395" s="10"/>
      <c r="BX395" s="10"/>
      <c r="BY395" s="10"/>
      <c r="BZ395" s="10"/>
      <c r="CA395" s="10"/>
      <c r="CB395" s="10"/>
      <c r="CC395" s="221"/>
      <c r="CD395" s="10"/>
      <c r="CE395" s="317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317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  <c r="DG395" s="10"/>
      <c r="DH395" s="10"/>
      <c r="DI395" s="10"/>
      <c r="DJ395" s="10"/>
      <c r="DK395" s="10"/>
      <c r="DL395" s="10"/>
      <c r="DM395" s="10"/>
      <c r="DN395" s="10"/>
      <c r="DO395" s="10"/>
      <c r="DP395" s="10"/>
      <c r="DQ395" s="10"/>
      <c r="DR395" s="10"/>
      <c r="DS395" s="10"/>
      <c r="DT395" s="10"/>
      <c r="DU395" s="10"/>
      <c r="DV395" s="38">
        <f t="shared" si="176"/>
        <v>0</v>
      </c>
      <c r="DW395" s="14" t="str">
        <f t="shared" si="177"/>
        <v>PROB</v>
      </c>
    </row>
    <row r="396" spans="1:127" customFormat="1">
      <c r="A396" s="210">
        <v>36937</v>
      </c>
      <c r="B396" s="211"/>
      <c r="C396" s="8">
        <v>0</v>
      </c>
      <c r="D396" s="59">
        <v>14</v>
      </c>
      <c r="E396" s="59">
        <v>1</v>
      </c>
      <c r="F396" s="59">
        <v>1</v>
      </c>
      <c r="G396" s="59">
        <v>2</v>
      </c>
      <c r="H396" s="59">
        <v>0</v>
      </c>
      <c r="I396" s="59">
        <v>0</v>
      </c>
      <c r="J396" s="59">
        <v>5</v>
      </c>
      <c r="K396" s="59">
        <v>0</v>
      </c>
      <c r="L396" s="59">
        <v>0</v>
      </c>
      <c r="M396" s="59"/>
      <c r="N396" s="59"/>
      <c r="O396" s="59">
        <v>16</v>
      </c>
      <c r="P396" s="59">
        <v>1</v>
      </c>
      <c r="Q396" s="59">
        <v>0</v>
      </c>
      <c r="R396" s="59">
        <v>0</v>
      </c>
      <c r="S396" s="35">
        <f t="shared" si="178"/>
        <v>40</v>
      </c>
      <c r="T396" s="59">
        <v>2</v>
      </c>
      <c r="U396" s="59">
        <v>5</v>
      </c>
      <c r="V396" s="59"/>
      <c r="W396" s="59">
        <v>0</v>
      </c>
      <c r="X396" s="5">
        <v>1</v>
      </c>
      <c r="Y396" s="10"/>
      <c r="Z396" s="61">
        <v>560361</v>
      </c>
      <c r="AA396" s="59">
        <v>341066</v>
      </c>
      <c r="AB396" s="59"/>
      <c r="AC396" s="61">
        <v>543801</v>
      </c>
      <c r="AD396" s="59">
        <v>1015020</v>
      </c>
      <c r="AE396" s="35">
        <f t="shared" si="175"/>
        <v>1558821</v>
      </c>
      <c r="AF396" s="10"/>
      <c r="AG396" s="8">
        <v>56</v>
      </c>
      <c r="AH396" s="59">
        <v>11</v>
      </c>
      <c r="AI396" s="59">
        <v>82</v>
      </c>
      <c r="AJ396" s="5">
        <v>24</v>
      </c>
      <c r="AK396" s="10"/>
      <c r="AL396" s="8"/>
      <c r="AM396" s="10"/>
      <c r="AN396" s="35"/>
      <c r="AO396" s="10"/>
      <c r="AP396" s="10"/>
      <c r="AQ396" s="35"/>
      <c r="AR396" s="59">
        <v>116</v>
      </c>
      <c r="AS396" s="59">
        <v>67</v>
      </c>
      <c r="AT396" s="59">
        <v>143</v>
      </c>
      <c r="AU396" s="59">
        <v>44</v>
      </c>
      <c r="AV396" s="62">
        <v>257</v>
      </c>
      <c r="AW396" s="10"/>
      <c r="AX396" s="326"/>
      <c r="AY396" s="5"/>
      <c r="AZ396" s="10"/>
      <c r="BA396" s="8"/>
      <c r="BB396" s="10"/>
      <c r="BC396" s="10"/>
      <c r="BD396" s="10"/>
      <c r="BE396" s="10"/>
      <c r="BF396" s="10"/>
      <c r="BG396" s="10"/>
      <c r="BH396" s="30"/>
      <c r="BI396" s="10"/>
      <c r="BJ396" s="338"/>
      <c r="BK396" s="338"/>
      <c r="BL396" s="303"/>
      <c r="BM396" s="5"/>
      <c r="BN396" s="10"/>
      <c r="BO396" s="8"/>
      <c r="BP396" s="5"/>
      <c r="BQ396" s="10"/>
      <c r="BR396" s="29">
        <v>2001</v>
      </c>
      <c r="BS396" s="64">
        <v>2001</v>
      </c>
      <c r="BT396" s="14">
        <v>4</v>
      </c>
      <c r="BU396" s="10"/>
      <c r="BV396" s="8"/>
      <c r="BW396" s="10"/>
      <c r="BX396" s="10"/>
      <c r="BY396" s="10"/>
      <c r="BZ396" s="10"/>
      <c r="CA396" s="10"/>
      <c r="CB396" s="10"/>
      <c r="CC396" s="221"/>
      <c r="CD396" s="10"/>
      <c r="CE396" s="317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317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  <c r="DF396" s="10"/>
      <c r="DG396" s="10"/>
      <c r="DH396" s="10"/>
      <c r="DI396" s="10"/>
      <c r="DJ396" s="10"/>
      <c r="DK396" s="10"/>
      <c r="DL396" s="10"/>
      <c r="DM396" s="10"/>
      <c r="DN396" s="10"/>
      <c r="DO396" s="10"/>
      <c r="DP396" s="10"/>
      <c r="DQ396" s="10"/>
      <c r="DR396" s="10"/>
      <c r="DS396" s="10"/>
      <c r="DT396" s="10"/>
      <c r="DU396" s="10"/>
      <c r="DV396" s="38">
        <f t="shared" si="176"/>
        <v>0</v>
      </c>
      <c r="DW396" s="14" t="str">
        <f t="shared" si="177"/>
        <v>PROB</v>
      </c>
    </row>
    <row r="397" spans="1:127" customFormat="1">
      <c r="A397" s="210">
        <v>36951</v>
      </c>
      <c r="B397" s="211"/>
      <c r="C397" s="8">
        <v>1</v>
      </c>
      <c r="D397" s="59">
        <v>11</v>
      </c>
      <c r="E397" s="59">
        <v>0</v>
      </c>
      <c r="F397" s="59">
        <v>0</v>
      </c>
      <c r="G397" s="59">
        <v>1</v>
      </c>
      <c r="H397" s="59">
        <v>0</v>
      </c>
      <c r="I397" s="59">
        <v>0</v>
      </c>
      <c r="J397" s="59">
        <v>7</v>
      </c>
      <c r="K397" s="59">
        <v>0</v>
      </c>
      <c r="L397" s="59">
        <v>0</v>
      </c>
      <c r="M397" s="59"/>
      <c r="N397" s="59"/>
      <c r="O397" s="59">
        <v>37</v>
      </c>
      <c r="P397" s="59">
        <v>1</v>
      </c>
      <c r="Q397" s="59">
        <v>0</v>
      </c>
      <c r="R397" s="59">
        <v>0</v>
      </c>
      <c r="S397" s="35">
        <f t="shared" si="178"/>
        <v>58</v>
      </c>
      <c r="T397" s="59">
        <v>33</v>
      </c>
      <c r="U397" s="59">
        <v>4</v>
      </c>
      <c r="V397" s="59"/>
      <c r="W397" s="59">
        <v>0</v>
      </c>
      <c r="X397" s="5">
        <v>0</v>
      </c>
      <c r="Y397" s="10"/>
      <c r="Z397" s="61">
        <v>563264</v>
      </c>
      <c r="AA397" s="59">
        <v>684542</v>
      </c>
      <c r="AB397" s="59"/>
      <c r="AC397" s="61">
        <v>621293</v>
      </c>
      <c r="AD397" s="59">
        <v>1230173</v>
      </c>
      <c r="AE397" s="35">
        <f t="shared" si="175"/>
        <v>1851466</v>
      </c>
      <c r="AF397" s="10"/>
      <c r="AG397" s="8">
        <v>36</v>
      </c>
      <c r="AH397" s="59">
        <v>14</v>
      </c>
      <c r="AI397" s="59">
        <v>78</v>
      </c>
      <c r="AJ397" s="5">
        <v>20</v>
      </c>
      <c r="AK397" s="10"/>
      <c r="AL397" s="8"/>
      <c r="AM397" s="10"/>
      <c r="AN397" s="35"/>
      <c r="AO397" s="10"/>
      <c r="AP397" s="10"/>
      <c r="AQ397" s="35"/>
      <c r="AR397" s="59">
        <v>116</v>
      </c>
      <c r="AS397" s="59"/>
      <c r="AT397" s="59"/>
      <c r="AU397" s="59"/>
      <c r="AV397" s="62"/>
      <c r="AW397" s="10"/>
      <c r="AX397" s="326"/>
      <c r="AY397" s="5"/>
      <c r="AZ397" s="10"/>
      <c r="BA397" s="8">
        <v>1699</v>
      </c>
      <c r="BB397" s="10">
        <v>36037379</v>
      </c>
      <c r="BC397" s="10"/>
      <c r="BD397" s="10"/>
      <c r="BE397" s="10">
        <v>26</v>
      </c>
      <c r="BF397" s="59">
        <v>2</v>
      </c>
      <c r="BG397" s="59">
        <v>0</v>
      </c>
      <c r="BH397" s="351"/>
      <c r="BI397" s="10">
        <v>915362</v>
      </c>
      <c r="BJ397" s="338"/>
      <c r="BK397" s="338"/>
      <c r="BL397" s="303"/>
      <c r="BM397" s="5"/>
      <c r="BN397" s="10"/>
      <c r="BO397" s="8"/>
      <c r="BP397" s="5">
        <v>158</v>
      </c>
      <c r="BQ397" s="10"/>
      <c r="BR397" s="29">
        <v>2001</v>
      </c>
      <c r="BS397" s="64">
        <v>2001</v>
      </c>
      <c r="BT397" s="14">
        <v>5</v>
      </c>
      <c r="BU397" s="10"/>
      <c r="BV397" s="8"/>
      <c r="BW397" s="10"/>
      <c r="BX397" s="10"/>
      <c r="BY397" s="10"/>
      <c r="BZ397" s="10"/>
      <c r="CA397" s="10"/>
      <c r="CB397" s="10"/>
      <c r="CC397" s="221"/>
      <c r="CD397" s="10"/>
      <c r="CE397" s="317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317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  <c r="DD397" s="10"/>
      <c r="DE397" s="10"/>
      <c r="DF397" s="10"/>
      <c r="DG397" s="10"/>
      <c r="DH397" s="10"/>
      <c r="DI397" s="10"/>
      <c r="DJ397" s="10"/>
      <c r="DK397" s="10"/>
      <c r="DL397" s="10"/>
      <c r="DM397" s="10"/>
      <c r="DN397" s="10"/>
      <c r="DO397" s="10"/>
      <c r="DP397" s="10"/>
      <c r="DQ397" s="10"/>
      <c r="DR397" s="10"/>
      <c r="DS397" s="10"/>
      <c r="DT397" s="10"/>
      <c r="DU397" s="10"/>
      <c r="DV397" s="38">
        <f t="shared" si="176"/>
        <v>0</v>
      </c>
      <c r="DW397" s="14" t="str">
        <f t="shared" si="177"/>
        <v>PROB</v>
      </c>
    </row>
    <row r="398" spans="1:127" customFormat="1">
      <c r="A398" s="210">
        <v>36965</v>
      </c>
      <c r="B398" s="211"/>
      <c r="C398" s="8">
        <v>0</v>
      </c>
      <c r="D398" s="59">
        <v>4</v>
      </c>
      <c r="E398" s="59">
        <v>0</v>
      </c>
      <c r="F398" s="59">
        <v>0</v>
      </c>
      <c r="G398" s="59">
        <v>0</v>
      </c>
      <c r="H398" s="59">
        <v>0</v>
      </c>
      <c r="I398" s="59">
        <v>0</v>
      </c>
      <c r="J398" s="59">
        <v>2</v>
      </c>
      <c r="K398" s="59">
        <v>0</v>
      </c>
      <c r="L398" s="59">
        <v>0</v>
      </c>
      <c r="M398" s="59"/>
      <c r="N398" s="59"/>
      <c r="O398" s="59">
        <v>0</v>
      </c>
      <c r="P398" s="59">
        <v>0</v>
      </c>
      <c r="Q398" s="59">
        <v>0</v>
      </c>
      <c r="R398" s="59">
        <v>0</v>
      </c>
      <c r="S398" s="35">
        <f t="shared" si="178"/>
        <v>6</v>
      </c>
      <c r="T398" s="59">
        <v>2</v>
      </c>
      <c r="U398" s="59">
        <v>2</v>
      </c>
      <c r="V398" s="59"/>
      <c r="W398" s="59">
        <v>0</v>
      </c>
      <c r="X398" s="5">
        <v>0</v>
      </c>
      <c r="Y398" s="10"/>
      <c r="Z398" s="61">
        <v>506845</v>
      </c>
      <c r="AA398" s="59">
        <v>134452</v>
      </c>
      <c r="AB398" s="59"/>
      <c r="AC398" s="61">
        <v>104785</v>
      </c>
      <c r="AD398" s="59">
        <v>158944</v>
      </c>
      <c r="AE398" s="35">
        <f t="shared" si="175"/>
        <v>263729</v>
      </c>
      <c r="AF398" s="10"/>
      <c r="AG398" s="8">
        <v>17</v>
      </c>
      <c r="AH398" s="59">
        <v>16</v>
      </c>
      <c r="AI398" s="59">
        <v>80</v>
      </c>
      <c r="AJ398" s="5">
        <v>12</v>
      </c>
      <c r="AK398" s="10"/>
      <c r="AL398" s="8"/>
      <c r="AM398" s="10"/>
      <c r="AN398" s="35"/>
      <c r="AO398" s="10"/>
      <c r="AP398" s="10"/>
      <c r="AQ398" s="35"/>
      <c r="AR398" s="59">
        <v>118</v>
      </c>
      <c r="AS398" s="59"/>
      <c r="AT398" s="59"/>
      <c r="AU398" s="59"/>
      <c r="AV398" s="62"/>
      <c r="AW398" s="10"/>
      <c r="AX398" s="326"/>
      <c r="AY398" s="5"/>
      <c r="AZ398" s="10"/>
      <c r="BA398" s="8"/>
      <c r="BB398" s="10"/>
      <c r="BC398" s="10"/>
      <c r="BD398" s="10"/>
      <c r="BE398" s="10"/>
      <c r="BF398" s="10"/>
      <c r="BG398" s="10"/>
      <c r="BH398" s="30"/>
      <c r="BI398" s="10"/>
      <c r="BJ398" s="338"/>
      <c r="BK398" s="338"/>
      <c r="BL398" s="303"/>
      <c r="BM398" s="5"/>
      <c r="BN398" s="10"/>
      <c r="BO398" s="8"/>
      <c r="BP398" s="5"/>
      <c r="BQ398" s="10"/>
      <c r="BR398" s="29">
        <v>2001</v>
      </c>
      <c r="BS398" s="64">
        <v>2001</v>
      </c>
      <c r="BT398" s="14">
        <v>6</v>
      </c>
      <c r="BU398" s="10"/>
      <c r="BV398" s="8"/>
      <c r="BW398" s="10"/>
      <c r="BX398" s="10"/>
      <c r="BY398" s="10"/>
      <c r="BZ398" s="10"/>
      <c r="CA398" s="10"/>
      <c r="CB398" s="10"/>
      <c r="CC398" s="221"/>
      <c r="CD398" s="10"/>
      <c r="CE398" s="317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317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  <c r="DF398" s="10"/>
      <c r="DG398" s="10"/>
      <c r="DH398" s="10"/>
      <c r="DI398" s="10"/>
      <c r="DJ398" s="10"/>
      <c r="DK398" s="10"/>
      <c r="DL398" s="10"/>
      <c r="DM398" s="10"/>
      <c r="DN398" s="10"/>
      <c r="DO398" s="10"/>
      <c r="DP398" s="10"/>
      <c r="DQ398" s="10"/>
      <c r="DR398" s="10"/>
      <c r="DS398" s="10"/>
      <c r="DT398" s="10"/>
      <c r="DU398" s="10"/>
      <c r="DV398" s="38">
        <f t="shared" si="176"/>
        <v>0</v>
      </c>
      <c r="DW398" s="14" t="str">
        <f t="shared" si="177"/>
        <v>PROB</v>
      </c>
    </row>
    <row r="399" spans="1:127" customFormat="1">
      <c r="A399" s="210">
        <v>36982</v>
      </c>
      <c r="B399" s="211"/>
      <c r="C399" s="8">
        <v>2</v>
      </c>
      <c r="D399" s="59">
        <v>8</v>
      </c>
      <c r="E399" s="59">
        <v>0</v>
      </c>
      <c r="F399" s="59">
        <v>0</v>
      </c>
      <c r="G399" s="59">
        <v>2</v>
      </c>
      <c r="H399" s="59">
        <v>1</v>
      </c>
      <c r="I399" s="59">
        <v>0</v>
      </c>
      <c r="J399" s="59">
        <v>4</v>
      </c>
      <c r="K399" s="59">
        <v>0</v>
      </c>
      <c r="L399" s="59">
        <v>0</v>
      </c>
      <c r="M399" s="59"/>
      <c r="N399" s="59"/>
      <c r="O399" s="59">
        <v>6</v>
      </c>
      <c r="P399" s="59">
        <v>0</v>
      </c>
      <c r="Q399" s="59">
        <v>0</v>
      </c>
      <c r="R399" s="59">
        <v>0</v>
      </c>
      <c r="S399" s="35">
        <f t="shared" si="178"/>
        <v>23</v>
      </c>
      <c r="T399" s="59">
        <v>4</v>
      </c>
      <c r="U399" s="59">
        <v>4</v>
      </c>
      <c r="V399" s="59"/>
      <c r="W399" s="59">
        <v>0</v>
      </c>
      <c r="X399" s="5">
        <v>0</v>
      </c>
      <c r="Y399" s="10"/>
      <c r="Z399" s="61">
        <v>537070</v>
      </c>
      <c r="AA399" s="59">
        <v>350992</v>
      </c>
      <c r="AB399" s="59"/>
      <c r="AC399" s="61">
        <v>298673</v>
      </c>
      <c r="AD399" s="59">
        <v>688598</v>
      </c>
      <c r="AE399" s="35">
        <f t="shared" si="175"/>
        <v>987271</v>
      </c>
      <c r="AF399" s="10"/>
      <c r="AG399" s="8">
        <v>40</v>
      </c>
      <c r="AH399" s="59">
        <v>18</v>
      </c>
      <c r="AI399" s="59">
        <v>80</v>
      </c>
      <c r="AJ399" s="5">
        <v>20</v>
      </c>
      <c r="AK399" s="10"/>
      <c r="AL399" s="8">
        <v>34</v>
      </c>
      <c r="AM399" s="59">
        <v>85</v>
      </c>
      <c r="AN399" s="35">
        <f>SUM(AL399:AM399)</f>
        <v>119</v>
      </c>
      <c r="AO399" s="10">
        <v>66</v>
      </c>
      <c r="AP399" s="10">
        <v>9</v>
      </c>
      <c r="AQ399" s="35">
        <f>SUM(AO399:AP399)</f>
        <v>75</v>
      </c>
      <c r="AR399" s="59">
        <v>118</v>
      </c>
      <c r="AS399" s="59">
        <v>59</v>
      </c>
      <c r="AT399" s="59">
        <v>134</v>
      </c>
      <c r="AU399" s="59">
        <v>39</v>
      </c>
      <c r="AV399" s="62">
        <v>235</v>
      </c>
      <c r="AW399" s="10"/>
      <c r="AX399" s="326"/>
      <c r="AY399" s="5"/>
      <c r="AZ399" s="10"/>
      <c r="BA399" s="8">
        <v>1698</v>
      </c>
      <c r="BB399" s="10">
        <v>35670498</v>
      </c>
      <c r="BC399" s="10"/>
      <c r="BD399" s="10"/>
      <c r="BE399" s="10">
        <v>83</v>
      </c>
      <c r="BF399" s="10">
        <v>1</v>
      </c>
      <c r="BG399" s="59">
        <v>2</v>
      </c>
      <c r="BH399" s="351"/>
      <c r="BI399" s="10">
        <v>2025347</v>
      </c>
      <c r="BJ399" s="338"/>
      <c r="BK399" s="338"/>
      <c r="BL399" s="303"/>
      <c r="BM399" s="5"/>
      <c r="BN399" s="10"/>
      <c r="BO399" s="8"/>
      <c r="BP399" s="5">
        <v>158</v>
      </c>
      <c r="BQ399" s="10"/>
      <c r="BR399" s="29">
        <v>2001</v>
      </c>
      <c r="BS399" s="64">
        <v>2001</v>
      </c>
      <c r="BT399" s="14">
        <v>7</v>
      </c>
      <c r="BU399" s="10"/>
      <c r="BV399" s="8"/>
      <c r="BW399" s="10"/>
      <c r="BX399" s="10"/>
      <c r="BY399" s="10"/>
      <c r="BZ399" s="10"/>
      <c r="CA399" s="10"/>
      <c r="CB399" s="10"/>
      <c r="CC399" s="221"/>
      <c r="CD399" s="10"/>
      <c r="CE399" s="317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317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  <c r="DF399" s="10"/>
      <c r="DG399" s="10"/>
      <c r="DH399" s="10"/>
      <c r="DI399" s="10"/>
      <c r="DJ399" s="10"/>
      <c r="DK399" s="10"/>
      <c r="DL399" s="10"/>
      <c r="DM399" s="10"/>
      <c r="DN399" s="10"/>
      <c r="DO399" s="10"/>
      <c r="DP399" s="10"/>
      <c r="DQ399" s="10"/>
      <c r="DR399" s="10"/>
      <c r="DS399" s="10"/>
      <c r="DT399" s="10"/>
      <c r="DU399" s="10"/>
      <c r="DV399" s="38">
        <f t="shared" si="176"/>
        <v>0</v>
      </c>
      <c r="DW399" s="14" t="str">
        <f t="shared" si="177"/>
        <v>PROB</v>
      </c>
    </row>
    <row r="400" spans="1:127" customFormat="1">
      <c r="A400" s="210">
        <v>36996</v>
      </c>
      <c r="B400" s="211"/>
      <c r="C400" s="8">
        <v>2</v>
      </c>
      <c r="D400" s="59">
        <v>14</v>
      </c>
      <c r="E400" s="59">
        <v>0</v>
      </c>
      <c r="F400" s="59">
        <v>0</v>
      </c>
      <c r="G400" s="59">
        <v>1</v>
      </c>
      <c r="H400" s="59">
        <v>0</v>
      </c>
      <c r="I400" s="59">
        <v>0</v>
      </c>
      <c r="J400" s="59">
        <v>14</v>
      </c>
      <c r="K400" s="59">
        <v>0</v>
      </c>
      <c r="L400" s="59">
        <v>0</v>
      </c>
      <c r="M400" s="59"/>
      <c r="N400" s="59"/>
      <c r="O400" s="59">
        <v>10</v>
      </c>
      <c r="P400" s="59">
        <v>1</v>
      </c>
      <c r="Q400" s="59">
        <v>0</v>
      </c>
      <c r="R400" s="59">
        <v>0</v>
      </c>
      <c r="S400" s="35">
        <f t="shared" si="178"/>
        <v>42</v>
      </c>
      <c r="T400" s="59">
        <v>5</v>
      </c>
      <c r="U400" s="59">
        <v>6</v>
      </c>
      <c r="V400" s="59"/>
      <c r="W400" s="59">
        <v>0</v>
      </c>
      <c r="X400" s="5">
        <v>1</v>
      </c>
      <c r="Y400" s="10"/>
      <c r="Z400" s="61">
        <v>977885</v>
      </c>
      <c r="AA400" s="59">
        <v>884088</v>
      </c>
      <c r="AB400" s="59"/>
      <c r="AC400" s="61">
        <v>695502</v>
      </c>
      <c r="AD400" s="59">
        <v>960199</v>
      </c>
      <c r="AE400" s="35">
        <f t="shared" si="175"/>
        <v>1655701</v>
      </c>
      <c r="AF400" s="10"/>
      <c r="AG400" s="8">
        <v>83</v>
      </c>
      <c r="AH400" s="59">
        <v>26</v>
      </c>
      <c r="AI400" s="59">
        <v>124</v>
      </c>
      <c r="AJ400" s="5">
        <v>24</v>
      </c>
      <c r="AK400" s="10"/>
      <c r="AL400" s="8"/>
      <c r="AM400" s="10"/>
      <c r="AN400" s="35"/>
      <c r="AO400" s="10"/>
      <c r="AP400" s="10"/>
      <c r="AQ400" s="35"/>
      <c r="AR400" s="59">
        <v>120</v>
      </c>
      <c r="AS400" s="59"/>
      <c r="AT400" s="59"/>
      <c r="AU400" s="59"/>
      <c r="AV400" s="62"/>
      <c r="AW400" s="10"/>
      <c r="AX400" s="326"/>
      <c r="AY400" s="5"/>
      <c r="AZ400" s="10"/>
      <c r="BA400" s="8"/>
      <c r="BB400" s="10"/>
      <c r="BC400" s="10"/>
      <c r="BD400" s="10"/>
      <c r="BE400" s="10"/>
      <c r="BF400" s="10"/>
      <c r="BG400" s="10"/>
      <c r="BH400" s="30"/>
      <c r="BI400" s="10"/>
      <c r="BJ400" s="338"/>
      <c r="BK400" s="338"/>
      <c r="BL400" s="303"/>
      <c r="BM400" s="5"/>
      <c r="BN400" s="10"/>
      <c r="BO400" s="8"/>
      <c r="BP400" s="5"/>
      <c r="BQ400" s="10"/>
      <c r="BR400" s="29">
        <v>2001</v>
      </c>
      <c r="BS400" s="64">
        <v>2001</v>
      </c>
      <c r="BT400" s="14">
        <v>8</v>
      </c>
      <c r="BU400" s="10"/>
      <c r="BV400" s="8"/>
      <c r="BW400" s="10"/>
      <c r="BX400" s="10"/>
      <c r="BY400" s="10"/>
      <c r="BZ400" s="10"/>
      <c r="CA400" s="10"/>
      <c r="CB400" s="10"/>
      <c r="CC400" s="221"/>
      <c r="CD400" s="10"/>
      <c r="CE400" s="317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317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  <c r="DD400" s="10"/>
      <c r="DE400" s="10"/>
      <c r="DF400" s="10"/>
      <c r="DG400" s="10"/>
      <c r="DH400" s="10"/>
      <c r="DI400" s="10"/>
      <c r="DJ400" s="10"/>
      <c r="DK400" s="10"/>
      <c r="DL400" s="10"/>
      <c r="DM400" s="10"/>
      <c r="DN400" s="10"/>
      <c r="DO400" s="10"/>
      <c r="DP400" s="10"/>
      <c r="DQ400" s="10"/>
      <c r="DR400" s="10"/>
      <c r="DS400" s="10"/>
      <c r="DT400" s="10"/>
      <c r="DU400" s="10"/>
      <c r="DV400" s="38">
        <f t="shared" si="176"/>
        <v>0</v>
      </c>
      <c r="DW400" s="14" t="str">
        <f t="shared" si="177"/>
        <v>PROB</v>
      </c>
    </row>
    <row r="401" spans="1:129" customFormat="1">
      <c r="A401" s="210">
        <v>37012</v>
      </c>
      <c r="B401" s="211"/>
      <c r="C401" s="8">
        <v>5</v>
      </c>
      <c r="D401" s="59">
        <v>34</v>
      </c>
      <c r="E401" s="59">
        <v>0</v>
      </c>
      <c r="F401" s="59">
        <v>1</v>
      </c>
      <c r="G401" s="59">
        <v>4</v>
      </c>
      <c r="H401" s="59">
        <v>0</v>
      </c>
      <c r="I401" s="59">
        <v>0</v>
      </c>
      <c r="J401" s="59">
        <v>7</v>
      </c>
      <c r="K401" s="59">
        <v>0</v>
      </c>
      <c r="L401" s="59">
        <v>0</v>
      </c>
      <c r="M401" s="59"/>
      <c r="N401" s="59"/>
      <c r="O401" s="59">
        <v>29</v>
      </c>
      <c r="P401" s="59">
        <v>0</v>
      </c>
      <c r="Q401" s="59">
        <v>0</v>
      </c>
      <c r="R401" s="59">
        <v>0</v>
      </c>
      <c r="S401" s="35">
        <f t="shared" si="178"/>
        <v>80</v>
      </c>
      <c r="T401" s="59">
        <v>28</v>
      </c>
      <c r="U401" s="59">
        <v>24</v>
      </c>
      <c r="V401" s="59"/>
      <c r="W401" s="59">
        <v>0</v>
      </c>
      <c r="X401" s="5">
        <v>0</v>
      </c>
      <c r="Y401" s="10"/>
      <c r="Z401" s="61">
        <v>1234688</v>
      </c>
      <c r="AA401" s="59">
        <v>1616185</v>
      </c>
      <c r="AB401" s="59"/>
      <c r="AC401" s="61">
        <v>1514157</v>
      </c>
      <c r="AD401" s="59">
        <v>1961396</v>
      </c>
      <c r="AE401" s="35">
        <f t="shared" si="175"/>
        <v>3475553</v>
      </c>
      <c r="AF401" s="10"/>
      <c r="AG401" s="8">
        <v>141</v>
      </c>
      <c r="AH401" s="59">
        <v>14</v>
      </c>
      <c r="AI401" s="59">
        <v>166</v>
      </c>
      <c r="AJ401" s="5">
        <v>32</v>
      </c>
      <c r="AK401" s="10"/>
      <c r="AL401" s="8"/>
      <c r="AM401" s="10"/>
      <c r="AN401" s="35"/>
      <c r="AO401" s="10"/>
      <c r="AP401" s="10"/>
      <c r="AQ401" s="35"/>
      <c r="AR401" s="59">
        <v>122</v>
      </c>
      <c r="AS401" s="59">
        <v>58</v>
      </c>
      <c r="AT401" s="59">
        <v>134</v>
      </c>
      <c r="AU401" s="59">
        <v>39</v>
      </c>
      <c r="AV401" s="62">
        <v>234</v>
      </c>
      <c r="AW401" s="10"/>
      <c r="AX401" s="326"/>
      <c r="AY401" s="5"/>
      <c r="AZ401" s="10"/>
      <c r="BA401" s="8">
        <v>1699</v>
      </c>
      <c r="BB401" s="10">
        <v>35105243</v>
      </c>
      <c r="BC401" s="10"/>
      <c r="BD401" s="10"/>
      <c r="BE401" s="10">
        <v>83</v>
      </c>
      <c r="BF401" s="10">
        <v>2</v>
      </c>
      <c r="BG401" s="59">
        <v>1</v>
      </c>
      <c r="BH401" s="351"/>
      <c r="BI401" s="10">
        <v>2373843</v>
      </c>
      <c r="BJ401" s="338"/>
      <c r="BK401" s="338"/>
      <c r="BL401" s="303"/>
      <c r="BM401" s="5"/>
      <c r="BN401" s="10"/>
      <c r="BO401" s="8"/>
      <c r="BP401" s="5">
        <v>158</v>
      </c>
      <c r="BQ401" s="10"/>
      <c r="BR401" s="29">
        <v>2001</v>
      </c>
      <c r="BS401" s="64">
        <v>2001</v>
      </c>
      <c r="BT401" s="14">
        <v>9</v>
      </c>
      <c r="BU401" s="10"/>
      <c r="BV401" s="8"/>
      <c r="BW401" s="10"/>
      <c r="BX401" s="10"/>
      <c r="BY401" s="10"/>
      <c r="BZ401" s="10"/>
      <c r="CA401" s="10"/>
      <c r="CB401" s="10"/>
      <c r="CC401" s="221"/>
      <c r="CD401" s="10"/>
      <c r="CE401" s="317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317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  <c r="DF401" s="10"/>
      <c r="DG401" s="10"/>
      <c r="DH401" s="10"/>
      <c r="DI401" s="10"/>
      <c r="DJ401" s="10"/>
      <c r="DK401" s="10"/>
      <c r="DL401" s="10"/>
      <c r="DM401" s="10"/>
      <c r="DN401" s="10"/>
      <c r="DO401" s="10"/>
      <c r="DP401" s="10"/>
      <c r="DQ401" s="10"/>
      <c r="DR401" s="10"/>
      <c r="DS401" s="10"/>
      <c r="DT401" s="10"/>
      <c r="DU401" s="10"/>
      <c r="DV401" s="38">
        <f t="shared" si="176"/>
        <v>0</v>
      </c>
      <c r="DW401" s="14" t="str">
        <f t="shared" si="177"/>
        <v>PROB</v>
      </c>
    </row>
    <row r="402" spans="1:129" customFormat="1">
      <c r="A402" s="210">
        <v>37026</v>
      </c>
      <c r="B402" s="211"/>
      <c r="C402" s="8">
        <v>2</v>
      </c>
      <c r="D402" s="59">
        <v>22</v>
      </c>
      <c r="E402" s="59">
        <v>3</v>
      </c>
      <c r="F402" s="59">
        <v>0</v>
      </c>
      <c r="G402" s="59">
        <v>0</v>
      </c>
      <c r="H402" s="59">
        <v>2</v>
      </c>
      <c r="I402" s="59">
        <v>0</v>
      </c>
      <c r="J402" s="59">
        <v>5</v>
      </c>
      <c r="K402" s="59">
        <v>1</v>
      </c>
      <c r="L402" s="59">
        <v>0</v>
      </c>
      <c r="M402" s="59"/>
      <c r="N402" s="59"/>
      <c r="O402" s="59">
        <v>11</v>
      </c>
      <c r="P402" s="59">
        <v>4</v>
      </c>
      <c r="Q402" s="59">
        <v>0</v>
      </c>
      <c r="R402" s="59">
        <v>0</v>
      </c>
      <c r="S402" s="35">
        <f t="shared" si="178"/>
        <v>50</v>
      </c>
      <c r="T402" s="59">
        <v>11</v>
      </c>
      <c r="U402" s="59">
        <v>9</v>
      </c>
      <c r="V402" s="59"/>
      <c r="W402" s="59">
        <v>0</v>
      </c>
      <c r="X402" s="5">
        <v>0</v>
      </c>
      <c r="Y402" s="10"/>
      <c r="Z402" s="61">
        <v>1056518</v>
      </c>
      <c r="AA402" s="59">
        <v>682074</v>
      </c>
      <c r="AB402" s="59"/>
      <c r="AC402" s="61">
        <v>613633</v>
      </c>
      <c r="AD402" s="59">
        <v>1080725</v>
      </c>
      <c r="AE402" s="35">
        <f t="shared" si="175"/>
        <v>1694358</v>
      </c>
      <c r="AF402" s="10"/>
      <c r="AG402" s="8">
        <v>89</v>
      </c>
      <c r="AH402" s="59">
        <v>31</v>
      </c>
      <c r="AI402" s="59">
        <v>134</v>
      </c>
      <c r="AJ402" s="5">
        <v>24</v>
      </c>
      <c r="AK402" s="10"/>
      <c r="AL402" s="8"/>
      <c r="AM402" s="10"/>
      <c r="AN402" s="35"/>
      <c r="AO402" s="10"/>
      <c r="AP402" s="10"/>
      <c r="AQ402" s="35"/>
      <c r="AR402" s="59">
        <v>131</v>
      </c>
      <c r="AS402" s="59">
        <v>59</v>
      </c>
      <c r="AT402" s="59">
        <v>131</v>
      </c>
      <c r="AU402" s="59">
        <v>36</v>
      </c>
      <c r="AV402" s="62">
        <v>228</v>
      </c>
      <c r="AW402" s="10"/>
      <c r="AX402" s="326"/>
      <c r="AY402" s="5"/>
      <c r="AZ402" s="10"/>
      <c r="BA402" s="8"/>
      <c r="BB402" s="10"/>
      <c r="BC402" s="10"/>
      <c r="BD402" s="10"/>
      <c r="BE402" s="10"/>
      <c r="BF402" s="10"/>
      <c r="BG402" s="10"/>
      <c r="BH402" s="30"/>
      <c r="BI402" s="10"/>
      <c r="BJ402" s="338"/>
      <c r="BK402" s="338"/>
      <c r="BL402" s="303"/>
      <c r="BM402" s="5"/>
      <c r="BN402" s="10"/>
      <c r="BO402" s="8"/>
      <c r="BP402" s="5"/>
      <c r="BQ402" s="10"/>
      <c r="BR402" s="29">
        <v>2001</v>
      </c>
      <c r="BS402" s="64">
        <v>2001</v>
      </c>
      <c r="BT402" s="14">
        <v>10</v>
      </c>
      <c r="BU402" s="10"/>
      <c r="BV402" s="8"/>
      <c r="BW402" s="10"/>
      <c r="BX402" s="10"/>
      <c r="BY402" s="10"/>
      <c r="BZ402" s="10"/>
      <c r="CA402" s="10"/>
      <c r="CB402" s="10"/>
      <c r="CC402" s="221"/>
      <c r="CD402" s="10"/>
      <c r="CE402" s="317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317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0"/>
      <c r="DD402" s="10"/>
      <c r="DE402" s="10"/>
      <c r="DF402" s="10"/>
      <c r="DG402" s="10"/>
      <c r="DH402" s="10"/>
      <c r="DI402" s="10"/>
      <c r="DJ402" s="10"/>
      <c r="DK402" s="10"/>
      <c r="DL402" s="10"/>
      <c r="DM402" s="10"/>
      <c r="DN402" s="10"/>
      <c r="DO402" s="10"/>
      <c r="DP402" s="10"/>
      <c r="DQ402" s="10"/>
      <c r="DR402" s="10"/>
      <c r="DS402" s="10"/>
      <c r="DT402" s="10"/>
      <c r="DU402" s="10"/>
      <c r="DV402" s="38">
        <f t="shared" si="176"/>
        <v>0</v>
      </c>
      <c r="DW402" s="14" t="str">
        <f t="shared" si="177"/>
        <v>PROB</v>
      </c>
    </row>
    <row r="403" spans="1:129" customFormat="1">
      <c r="A403" s="210">
        <v>37043</v>
      </c>
      <c r="B403" s="211"/>
      <c r="C403" s="8">
        <v>3</v>
      </c>
      <c r="D403" s="59">
        <v>35</v>
      </c>
      <c r="E403" s="59">
        <v>0</v>
      </c>
      <c r="F403" s="59">
        <v>1</v>
      </c>
      <c r="G403" s="59">
        <v>1</v>
      </c>
      <c r="H403" s="59">
        <v>1</v>
      </c>
      <c r="I403" s="59">
        <v>0</v>
      </c>
      <c r="J403" s="59">
        <v>9</v>
      </c>
      <c r="K403" s="59">
        <v>0</v>
      </c>
      <c r="L403" s="59">
        <v>3</v>
      </c>
      <c r="M403" s="59"/>
      <c r="N403" s="59"/>
      <c r="O403" s="59">
        <v>1</v>
      </c>
      <c r="P403" s="59">
        <v>1</v>
      </c>
      <c r="Q403" s="59">
        <v>0</v>
      </c>
      <c r="R403" s="59">
        <v>0</v>
      </c>
      <c r="S403" s="35">
        <f t="shared" si="178"/>
        <v>55</v>
      </c>
      <c r="T403" s="59">
        <v>0</v>
      </c>
      <c r="U403" s="59">
        <v>12</v>
      </c>
      <c r="V403" s="59"/>
      <c r="W403" s="59">
        <v>0</v>
      </c>
      <c r="X403" s="5">
        <v>0</v>
      </c>
      <c r="Y403" s="10"/>
      <c r="Z403" s="61">
        <v>1326682</v>
      </c>
      <c r="AA403" s="59">
        <v>1181315</v>
      </c>
      <c r="AB403" s="59"/>
      <c r="AC403" s="61">
        <v>1060672</v>
      </c>
      <c r="AD403" s="59">
        <v>1218616</v>
      </c>
      <c r="AE403" s="35">
        <f t="shared" si="175"/>
        <v>2279288</v>
      </c>
      <c r="AF403" s="10"/>
      <c r="AG403" s="8">
        <v>118</v>
      </c>
      <c r="AH403" s="59">
        <v>34</v>
      </c>
      <c r="AI403" s="59">
        <v>164</v>
      </c>
      <c r="AJ403" s="5">
        <v>36</v>
      </c>
      <c r="AK403" s="10"/>
      <c r="AL403" s="8"/>
      <c r="AM403" s="10"/>
      <c r="AN403" s="35"/>
      <c r="AO403" s="10"/>
      <c r="AP403" s="10"/>
      <c r="AQ403" s="35"/>
      <c r="AR403" s="59">
        <v>134</v>
      </c>
      <c r="AS403" s="59"/>
      <c r="AT403" s="59"/>
      <c r="AU403" s="59"/>
      <c r="AV403" s="62"/>
      <c r="AW403" s="10"/>
      <c r="AX403" s="326"/>
      <c r="AY403" s="5"/>
      <c r="AZ403" s="10"/>
      <c r="BA403" s="8">
        <v>1698</v>
      </c>
      <c r="BB403" s="10">
        <v>35016645</v>
      </c>
      <c r="BC403" s="10"/>
      <c r="BD403" s="10"/>
      <c r="BE403" s="10">
        <v>30</v>
      </c>
      <c r="BF403" s="10">
        <v>2</v>
      </c>
      <c r="BG403" s="59">
        <v>3</v>
      </c>
      <c r="BH403" s="351"/>
      <c r="BI403" s="10">
        <v>1116359</v>
      </c>
      <c r="BJ403" s="338"/>
      <c r="BK403" s="338"/>
      <c r="BL403" s="303"/>
      <c r="BM403" s="5"/>
      <c r="BN403" s="10"/>
      <c r="BO403" s="8"/>
      <c r="BP403" s="5">
        <v>157</v>
      </c>
      <c r="BQ403" s="10"/>
      <c r="BR403" s="29">
        <v>2001</v>
      </c>
      <c r="BS403" s="64">
        <v>2001</v>
      </c>
      <c r="BT403" s="14">
        <v>11</v>
      </c>
      <c r="BU403" s="10"/>
      <c r="BV403" s="8"/>
      <c r="BW403" s="10"/>
      <c r="BX403" s="10"/>
      <c r="BY403" s="10"/>
      <c r="BZ403" s="10"/>
      <c r="CA403" s="10"/>
      <c r="CB403" s="10"/>
      <c r="CC403" s="221"/>
      <c r="CD403" s="10"/>
      <c r="CE403" s="317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317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0"/>
      <c r="DD403" s="10"/>
      <c r="DE403" s="10"/>
      <c r="DF403" s="10"/>
      <c r="DG403" s="10"/>
      <c r="DH403" s="10"/>
      <c r="DI403" s="10"/>
      <c r="DJ403" s="10"/>
      <c r="DK403" s="10"/>
      <c r="DL403" s="10"/>
      <c r="DM403" s="10"/>
      <c r="DN403" s="10"/>
      <c r="DO403" s="10"/>
      <c r="DP403" s="10"/>
      <c r="DQ403" s="10"/>
      <c r="DR403" s="10"/>
      <c r="DS403" s="10"/>
      <c r="DT403" s="10"/>
      <c r="DU403" s="10"/>
      <c r="DV403" s="38">
        <f t="shared" si="176"/>
        <v>0</v>
      </c>
      <c r="DW403" s="14" t="str">
        <f t="shared" si="177"/>
        <v>PROB</v>
      </c>
    </row>
    <row r="404" spans="1:129" customFormat="1">
      <c r="A404" s="210">
        <v>37057</v>
      </c>
      <c r="B404" s="211"/>
      <c r="C404" s="8">
        <v>3</v>
      </c>
      <c r="D404" s="59">
        <v>30</v>
      </c>
      <c r="E404" s="59">
        <v>1</v>
      </c>
      <c r="F404" s="59">
        <v>0</v>
      </c>
      <c r="G404" s="59">
        <v>0</v>
      </c>
      <c r="H404" s="59">
        <v>0</v>
      </c>
      <c r="I404" s="59">
        <v>0</v>
      </c>
      <c r="J404" s="59">
        <v>2</v>
      </c>
      <c r="K404" s="59">
        <v>0</v>
      </c>
      <c r="L404" s="59">
        <v>0</v>
      </c>
      <c r="M404" s="59"/>
      <c r="N404" s="59"/>
      <c r="O404" s="59">
        <v>1</v>
      </c>
      <c r="P404" s="59">
        <v>2</v>
      </c>
      <c r="Q404" s="59">
        <v>0</v>
      </c>
      <c r="R404" s="59">
        <v>0</v>
      </c>
      <c r="S404" s="35">
        <f t="shared" si="178"/>
        <v>39</v>
      </c>
      <c r="T404" s="59">
        <v>1</v>
      </c>
      <c r="U404" s="59">
        <v>30</v>
      </c>
      <c r="V404" s="59"/>
      <c r="W404" s="59">
        <v>0</v>
      </c>
      <c r="X404" s="5">
        <v>1</v>
      </c>
      <c r="Y404" s="10"/>
      <c r="Z404" s="61">
        <v>1069230</v>
      </c>
      <c r="AA404" s="59">
        <v>669982</v>
      </c>
      <c r="AB404" s="59"/>
      <c r="AC404" s="61">
        <v>641297</v>
      </c>
      <c r="AD404" s="59">
        <v>965791</v>
      </c>
      <c r="AE404" s="35">
        <f t="shared" si="175"/>
        <v>1607088</v>
      </c>
      <c r="AF404" s="10"/>
      <c r="AG404" s="8">
        <v>68</v>
      </c>
      <c r="AH404" s="59">
        <v>42</v>
      </c>
      <c r="AI404" s="59">
        <v>126</v>
      </c>
      <c r="AJ404" s="5">
        <v>28</v>
      </c>
      <c r="AK404" s="10"/>
      <c r="AL404" s="8"/>
      <c r="AM404" s="10"/>
      <c r="AN404" s="35"/>
      <c r="AO404" s="10"/>
      <c r="AP404" s="10"/>
      <c r="AQ404" s="35"/>
      <c r="AR404" s="59">
        <v>134</v>
      </c>
      <c r="AS404" s="59">
        <v>62</v>
      </c>
      <c r="AT404" s="59">
        <v>133</v>
      </c>
      <c r="AU404" s="59">
        <v>35</v>
      </c>
      <c r="AV404" s="62">
        <v>232</v>
      </c>
      <c r="AW404" s="10"/>
      <c r="AX404" s="326"/>
      <c r="AY404" s="5"/>
      <c r="AZ404" s="10"/>
      <c r="BA404" s="8"/>
      <c r="BB404" s="10"/>
      <c r="BC404" s="10"/>
      <c r="BD404" s="10"/>
      <c r="BE404" s="10"/>
      <c r="BF404" s="10"/>
      <c r="BG404" s="10"/>
      <c r="BH404" s="30"/>
      <c r="BI404" s="10"/>
      <c r="BJ404" s="338"/>
      <c r="BK404" s="338"/>
      <c r="BL404" s="303"/>
      <c r="BM404" s="5"/>
      <c r="BN404" s="10"/>
      <c r="BO404" s="8"/>
      <c r="BP404" s="5"/>
      <c r="BQ404" s="10"/>
      <c r="BR404" s="29">
        <v>2001</v>
      </c>
      <c r="BS404" s="64">
        <v>2001</v>
      </c>
      <c r="BT404" s="14">
        <v>12</v>
      </c>
      <c r="BU404" s="10"/>
      <c r="BV404" s="8"/>
      <c r="BW404" s="10"/>
      <c r="BX404" s="10"/>
      <c r="BY404" s="10"/>
      <c r="BZ404" s="10"/>
      <c r="CA404" s="10"/>
      <c r="CB404" s="10"/>
      <c r="CC404" s="221"/>
      <c r="CD404" s="10"/>
      <c r="CE404" s="317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317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0"/>
      <c r="DD404" s="10"/>
      <c r="DE404" s="10"/>
      <c r="DF404" s="10"/>
      <c r="DG404" s="10"/>
      <c r="DH404" s="10"/>
      <c r="DI404" s="10"/>
      <c r="DJ404" s="10"/>
      <c r="DK404" s="10"/>
      <c r="DL404" s="10"/>
      <c r="DM404" s="10"/>
      <c r="DN404" s="10"/>
      <c r="DO404" s="10"/>
      <c r="DP404" s="10"/>
      <c r="DQ404" s="10"/>
      <c r="DR404" s="10"/>
      <c r="DS404" s="10"/>
      <c r="DT404" s="10"/>
      <c r="DU404" s="10"/>
      <c r="DV404" s="38">
        <f t="shared" si="176"/>
        <v>0</v>
      </c>
      <c r="DW404" s="14" t="str">
        <f t="shared" si="177"/>
        <v>PROB</v>
      </c>
    </row>
    <row r="405" spans="1:129" s="6" customFormat="1" ht="12" thickBot="1">
      <c r="A405" s="212" t="s">
        <v>139</v>
      </c>
      <c r="B405" s="83"/>
      <c r="C405" s="52">
        <f t="shared" ref="C405:AJ405" si="179">SUM(C381:C404)</f>
        <v>60</v>
      </c>
      <c r="D405" s="53">
        <f t="shared" si="179"/>
        <v>392</v>
      </c>
      <c r="E405" s="53">
        <f t="shared" si="179"/>
        <v>42</v>
      </c>
      <c r="F405" s="53">
        <f t="shared" si="179"/>
        <v>6</v>
      </c>
      <c r="G405" s="53">
        <f t="shared" si="179"/>
        <v>37</v>
      </c>
      <c r="H405" s="53">
        <f t="shared" si="179"/>
        <v>17</v>
      </c>
      <c r="I405" s="53">
        <f>SUM(I381:I404)</f>
        <v>0</v>
      </c>
      <c r="J405" s="53">
        <f t="shared" si="179"/>
        <v>139</v>
      </c>
      <c r="K405" s="53">
        <f t="shared" si="179"/>
        <v>3</v>
      </c>
      <c r="L405" s="53">
        <f t="shared" si="179"/>
        <v>3</v>
      </c>
      <c r="M405" s="53"/>
      <c r="N405" s="53"/>
      <c r="O405" s="53">
        <f>SUM(O381:O404)</f>
        <v>227</v>
      </c>
      <c r="P405" s="53">
        <f t="shared" si="179"/>
        <v>14</v>
      </c>
      <c r="Q405" s="53">
        <f t="shared" si="179"/>
        <v>2</v>
      </c>
      <c r="R405" s="53">
        <f t="shared" si="179"/>
        <v>0</v>
      </c>
      <c r="S405" s="55">
        <f t="shared" si="179"/>
        <v>942</v>
      </c>
      <c r="T405" s="53">
        <f t="shared" si="179"/>
        <v>159</v>
      </c>
      <c r="U405" s="53">
        <f t="shared" si="179"/>
        <v>182</v>
      </c>
      <c r="V405" s="53">
        <f t="shared" ref="V405" si="180">SUM(V381:V404)</f>
        <v>0</v>
      </c>
      <c r="W405" s="53">
        <f t="shared" si="179"/>
        <v>0</v>
      </c>
      <c r="X405" s="54">
        <f t="shared" si="179"/>
        <v>7</v>
      </c>
      <c r="Z405" s="52">
        <f t="shared" si="179"/>
        <v>27378237</v>
      </c>
      <c r="AA405" s="53">
        <f t="shared" si="179"/>
        <v>18779911</v>
      </c>
      <c r="AB405" s="53"/>
      <c r="AC405" s="52">
        <f t="shared" si="179"/>
        <v>17041576</v>
      </c>
      <c r="AD405" s="53">
        <f t="shared" si="179"/>
        <v>24103186</v>
      </c>
      <c r="AE405" s="55">
        <f t="shared" si="179"/>
        <v>41144762</v>
      </c>
      <c r="AG405" s="52">
        <f t="shared" si="179"/>
        <v>1855</v>
      </c>
      <c r="AH405" s="53">
        <f t="shared" si="179"/>
        <v>942</v>
      </c>
      <c r="AI405" s="53">
        <f t="shared" si="179"/>
        <v>3172</v>
      </c>
      <c r="AJ405" s="54">
        <f t="shared" si="179"/>
        <v>596</v>
      </c>
      <c r="AL405" s="52">
        <f t="shared" ref="AL405:AV405" si="181">SUM(AL381:AL404)</f>
        <v>136</v>
      </c>
      <c r="AM405" s="53">
        <f t="shared" si="181"/>
        <v>325</v>
      </c>
      <c r="AN405" s="55">
        <f t="shared" si="181"/>
        <v>461</v>
      </c>
      <c r="AO405" s="53">
        <f t="shared" si="181"/>
        <v>265</v>
      </c>
      <c r="AP405" s="53">
        <f t="shared" si="181"/>
        <v>36</v>
      </c>
      <c r="AQ405" s="55">
        <f t="shared" si="181"/>
        <v>301</v>
      </c>
      <c r="AR405" s="53">
        <f t="shared" si="181"/>
        <v>2530</v>
      </c>
      <c r="AS405" s="53">
        <f t="shared" si="181"/>
        <v>437</v>
      </c>
      <c r="AT405" s="53">
        <f t="shared" si="181"/>
        <v>973</v>
      </c>
      <c r="AU405" s="53">
        <f t="shared" si="181"/>
        <v>270</v>
      </c>
      <c r="AV405" s="54">
        <f t="shared" si="181"/>
        <v>1696</v>
      </c>
      <c r="AX405" s="329"/>
      <c r="AY405" s="54"/>
      <c r="BA405" s="52">
        <f t="shared" ref="BA405:BM405" si="182">SUM(BA381:BA404)</f>
        <v>20370</v>
      </c>
      <c r="BB405" s="53">
        <f t="shared" si="182"/>
        <v>417402974</v>
      </c>
      <c r="BC405" s="53">
        <f t="shared" si="182"/>
        <v>0</v>
      </c>
      <c r="BD405" s="53"/>
      <c r="BE405" s="53">
        <f t="shared" si="182"/>
        <v>650</v>
      </c>
      <c r="BF405" s="53">
        <f t="shared" si="182"/>
        <v>50</v>
      </c>
      <c r="BG405" s="53">
        <f t="shared" si="182"/>
        <v>45</v>
      </c>
      <c r="BH405" s="55"/>
      <c r="BI405" s="53">
        <f t="shared" si="182"/>
        <v>21462641</v>
      </c>
      <c r="BJ405" s="339"/>
      <c r="BK405" s="339"/>
      <c r="BL405" s="304"/>
      <c r="BM405" s="54">
        <f t="shared" si="182"/>
        <v>4168</v>
      </c>
      <c r="BO405" s="52">
        <f>SUM(BO381:BO404)</f>
        <v>0</v>
      </c>
      <c r="BP405" s="54">
        <f>SUM(BP381:BP404)</f>
        <v>1901</v>
      </c>
      <c r="BR405" s="81" t="s">
        <v>143</v>
      </c>
      <c r="BS405" s="80"/>
      <c r="BT405" s="82"/>
      <c r="BV405" s="52">
        <f>SUM(BV381:BV404)</f>
        <v>0</v>
      </c>
      <c r="BW405" s="53">
        <f>SUM(BW381:BW404)</f>
        <v>0</v>
      </c>
      <c r="BX405" s="53">
        <f t="shared" ref="BX405:DU405" si="183">SUM(BX381:BX404)</f>
        <v>0</v>
      </c>
      <c r="BY405" s="53">
        <f t="shared" si="183"/>
        <v>0</v>
      </c>
      <c r="BZ405" s="53">
        <f t="shared" si="183"/>
        <v>0</v>
      </c>
      <c r="CA405" s="53">
        <f t="shared" si="183"/>
        <v>0</v>
      </c>
      <c r="CB405" s="53">
        <f t="shared" si="183"/>
        <v>0</v>
      </c>
      <c r="CC405" s="53">
        <f t="shared" si="183"/>
        <v>0</v>
      </c>
      <c r="CD405" s="53">
        <f t="shared" si="183"/>
        <v>0</v>
      </c>
      <c r="CE405" s="53">
        <f t="shared" si="183"/>
        <v>0</v>
      </c>
      <c r="CF405" s="53">
        <f t="shared" si="183"/>
        <v>0</v>
      </c>
      <c r="CG405" s="53">
        <f t="shared" si="183"/>
        <v>0</v>
      </c>
      <c r="CH405" s="53">
        <f t="shared" si="183"/>
        <v>0</v>
      </c>
      <c r="CI405" s="53">
        <f t="shared" si="183"/>
        <v>0</v>
      </c>
      <c r="CJ405" s="53">
        <f t="shared" si="183"/>
        <v>0</v>
      </c>
      <c r="CK405" s="53">
        <f t="shared" si="183"/>
        <v>0</v>
      </c>
      <c r="CL405" s="53">
        <f t="shared" si="183"/>
        <v>0</v>
      </c>
      <c r="CM405" s="53">
        <f t="shared" si="183"/>
        <v>0</v>
      </c>
      <c r="CN405" s="53">
        <f t="shared" si="183"/>
        <v>0</v>
      </c>
      <c r="CO405" s="53">
        <f t="shared" si="183"/>
        <v>0</v>
      </c>
      <c r="CP405" s="53">
        <f t="shared" si="183"/>
        <v>0</v>
      </c>
      <c r="CQ405" s="53">
        <f t="shared" si="183"/>
        <v>0</v>
      </c>
      <c r="CR405" s="53">
        <f t="shared" si="183"/>
        <v>0</v>
      </c>
      <c r="CS405" s="53">
        <f t="shared" si="183"/>
        <v>0</v>
      </c>
      <c r="CT405" s="53">
        <f t="shared" si="183"/>
        <v>0</v>
      </c>
      <c r="CU405" s="53">
        <f t="shared" si="183"/>
        <v>0</v>
      </c>
      <c r="CV405" s="53">
        <f t="shared" si="183"/>
        <v>0</v>
      </c>
      <c r="CW405" s="53">
        <f t="shared" si="183"/>
        <v>0</v>
      </c>
      <c r="CX405" s="53">
        <f t="shared" si="183"/>
        <v>0</v>
      </c>
      <c r="CY405" s="53">
        <f t="shared" si="183"/>
        <v>0</v>
      </c>
      <c r="CZ405" s="53">
        <f t="shared" si="183"/>
        <v>0</v>
      </c>
      <c r="DA405" s="53">
        <f t="shared" si="183"/>
        <v>0</v>
      </c>
      <c r="DB405" s="53">
        <f t="shared" si="183"/>
        <v>0</v>
      </c>
      <c r="DC405" s="53">
        <f t="shared" si="183"/>
        <v>0</v>
      </c>
      <c r="DD405" s="53">
        <f t="shared" si="183"/>
        <v>0</v>
      </c>
      <c r="DE405" s="53">
        <f t="shared" si="183"/>
        <v>0</v>
      </c>
      <c r="DF405" s="53">
        <f t="shared" si="183"/>
        <v>0</v>
      </c>
      <c r="DG405" s="53">
        <f t="shared" si="183"/>
        <v>0</v>
      </c>
      <c r="DH405" s="53">
        <f t="shared" si="183"/>
        <v>0</v>
      </c>
      <c r="DI405" s="53">
        <f t="shared" si="183"/>
        <v>0</v>
      </c>
      <c r="DJ405" s="53">
        <f t="shared" si="183"/>
        <v>0</v>
      </c>
      <c r="DK405" s="53">
        <f t="shared" si="183"/>
        <v>0</v>
      </c>
      <c r="DL405" s="53">
        <f t="shared" si="183"/>
        <v>0</v>
      </c>
      <c r="DM405" s="53">
        <f t="shared" si="183"/>
        <v>0</v>
      </c>
      <c r="DN405" s="53">
        <f t="shared" si="183"/>
        <v>0</v>
      </c>
      <c r="DO405" s="53">
        <f t="shared" si="183"/>
        <v>0</v>
      </c>
      <c r="DP405" s="53">
        <f t="shared" si="183"/>
        <v>0</v>
      </c>
      <c r="DQ405" s="53">
        <f t="shared" si="183"/>
        <v>0</v>
      </c>
      <c r="DR405" s="53">
        <f t="shared" si="183"/>
        <v>0</v>
      </c>
      <c r="DS405" s="53">
        <f t="shared" si="183"/>
        <v>0</v>
      </c>
      <c r="DT405" s="53">
        <f t="shared" si="183"/>
        <v>0</v>
      </c>
      <c r="DU405" s="53">
        <f t="shared" si="183"/>
        <v>0</v>
      </c>
      <c r="DV405" s="54">
        <f t="shared" si="176"/>
        <v>0</v>
      </c>
      <c r="DW405" s="48"/>
    </row>
    <row r="406" spans="1:129" s="6" customFormat="1" ht="12" thickTop="1">
      <c r="A406" s="213" t="s">
        <v>140</v>
      </c>
      <c r="B406" s="24"/>
      <c r="C406" s="39">
        <f t="shared" ref="C406:R406" si="184">ROUND(IF(ISERROR(AVERAGE(C381:C404)),0,AVERAGE(C381:C404)),0)</f>
        <v>3</v>
      </c>
      <c r="D406" s="24">
        <f t="shared" si="184"/>
        <v>16</v>
      </c>
      <c r="E406" s="24">
        <f t="shared" si="184"/>
        <v>2</v>
      </c>
      <c r="F406" s="24">
        <f t="shared" si="184"/>
        <v>0</v>
      </c>
      <c r="G406" s="24">
        <f t="shared" si="184"/>
        <v>2</v>
      </c>
      <c r="H406" s="24">
        <f t="shared" si="184"/>
        <v>1</v>
      </c>
      <c r="I406" s="24">
        <f>ROUND(IF(ISERROR(AVERAGE(I381:I404)),0,AVERAGE(I381:I404)),0)</f>
        <v>0</v>
      </c>
      <c r="J406" s="24">
        <f t="shared" si="184"/>
        <v>6</v>
      </c>
      <c r="K406" s="24">
        <f t="shared" si="184"/>
        <v>0</v>
      </c>
      <c r="L406" s="24">
        <f t="shared" si="184"/>
        <v>0</v>
      </c>
      <c r="M406" s="24"/>
      <c r="N406" s="24"/>
      <c r="O406" s="24">
        <f>ROUND(IF(ISERROR(AVERAGE(O381:O404)),0,AVERAGE(O381:O404)),0)</f>
        <v>9</v>
      </c>
      <c r="P406" s="24">
        <f t="shared" si="184"/>
        <v>1</v>
      </c>
      <c r="Q406" s="24">
        <f t="shared" si="184"/>
        <v>0</v>
      </c>
      <c r="R406" s="24">
        <f t="shared" si="184"/>
        <v>0</v>
      </c>
      <c r="S406" s="31">
        <f>SUM(C406:R406)</f>
        <v>40</v>
      </c>
      <c r="T406" s="24">
        <f t="shared" ref="T406:AJ406" si="185">ROUND(IF(ISERROR(AVERAGE(T381:T404)),0,AVERAGE(T381:T404)),0)</f>
        <v>7</v>
      </c>
      <c r="U406" s="24">
        <f>ROUND(IF(ISERROR(AVERAGE(U381:U404)),0,AVERAGE(U381:U404)),0)</f>
        <v>8</v>
      </c>
      <c r="V406" s="24">
        <f>ROUND(IF(ISERROR(AVERAGE(V381:V404)),0,AVERAGE(V381:V404)),0)</f>
        <v>0</v>
      </c>
      <c r="W406" s="24">
        <f t="shared" si="185"/>
        <v>0</v>
      </c>
      <c r="X406" s="40">
        <f t="shared" si="185"/>
        <v>0</v>
      </c>
      <c r="Z406" s="39">
        <f t="shared" si="185"/>
        <v>1140760</v>
      </c>
      <c r="AA406" s="24">
        <f t="shared" si="185"/>
        <v>782496</v>
      </c>
      <c r="AB406" s="24"/>
      <c r="AC406" s="39">
        <f t="shared" si="185"/>
        <v>710066</v>
      </c>
      <c r="AD406" s="24">
        <f t="shared" si="185"/>
        <v>1004299</v>
      </c>
      <c r="AE406" s="31">
        <f>SUM(AC406:AD406)</f>
        <v>1714365</v>
      </c>
      <c r="AG406" s="39">
        <f t="shared" si="185"/>
        <v>77</v>
      </c>
      <c r="AH406" s="24">
        <f t="shared" si="185"/>
        <v>39</v>
      </c>
      <c r="AI406" s="24">
        <f t="shared" si="185"/>
        <v>132</v>
      </c>
      <c r="AJ406" s="40">
        <f t="shared" si="185"/>
        <v>25</v>
      </c>
      <c r="AL406" s="39">
        <f t="shared" ref="AL406:AU406" si="186">ROUND(IF(ISERROR(AVERAGE(AL381:AL404)),0,AVERAGE(AL381:AL404)),0)</f>
        <v>34</v>
      </c>
      <c r="AM406" s="24">
        <f t="shared" si="186"/>
        <v>81</v>
      </c>
      <c r="AN406" s="31">
        <f>SUM(AL406:AM406)</f>
        <v>115</v>
      </c>
      <c r="AO406" s="24">
        <f t="shared" si="186"/>
        <v>66</v>
      </c>
      <c r="AP406" s="24">
        <f t="shared" si="186"/>
        <v>9</v>
      </c>
      <c r="AQ406" s="31">
        <f>SUM(AO406:AP406)</f>
        <v>75</v>
      </c>
      <c r="AR406" s="24">
        <f t="shared" si="186"/>
        <v>105</v>
      </c>
      <c r="AS406" s="24">
        <f t="shared" si="186"/>
        <v>55</v>
      </c>
      <c r="AT406" s="24">
        <f t="shared" si="186"/>
        <v>122</v>
      </c>
      <c r="AU406" s="24">
        <f t="shared" si="186"/>
        <v>34</v>
      </c>
      <c r="AV406" s="40">
        <f>ROUND(IF(ISERROR(AVERAGE(AV381:AV404)),0,AVERAGE(AV381:AV404)),0)</f>
        <v>212</v>
      </c>
      <c r="AX406" s="330"/>
      <c r="AY406" s="40"/>
      <c r="BA406" s="39">
        <f t="shared" ref="BA406:BM406" si="187">ROUND(IF(ISERROR(AVERAGE(BA381:BA404)),0,AVERAGE(BA381:BA404)),0)</f>
        <v>1698</v>
      </c>
      <c r="BB406" s="24">
        <f t="shared" si="187"/>
        <v>34783581</v>
      </c>
      <c r="BC406" s="24">
        <f t="shared" si="187"/>
        <v>0</v>
      </c>
      <c r="BD406" s="24"/>
      <c r="BE406" s="24">
        <f t="shared" si="187"/>
        <v>54</v>
      </c>
      <c r="BF406" s="24">
        <f t="shared" si="187"/>
        <v>4</v>
      </c>
      <c r="BG406" s="24">
        <f t="shared" si="187"/>
        <v>4</v>
      </c>
      <c r="BH406" s="31"/>
      <c r="BI406" s="24">
        <f t="shared" si="187"/>
        <v>1788553</v>
      </c>
      <c r="BJ406" s="340"/>
      <c r="BK406" s="340"/>
      <c r="BL406" s="305"/>
      <c r="BM406" s="40">
        <f t="shared" si="187"/>
        <v>4168</v>
      </c>
      <c r="BO406" s="39">
        <f>ROUND(IF(ISERROR(AVERAGE(BO381:BO404)),0,AVERAGE(BO381:BO404)),0)</f>
        <v>0</v>
      </c>
      <c r="BP406" s="40">
        <f>ROUND(IF(ISERROR(AVERAGE(BP381:BP404)),0,AVERAGE(BP381:BP404)),0)</f>
        <v>158</v>
      </c>
      <c r="BR406" s="65" t="s">
        <v>144</v>
      </c>
      <c r="BS406" s="19"/>
      <c r="BT406" s="14"/>
      <c r="BV406" s="39">
        <f>ROUND(IF(ISERROR(AVERAGE(BV381:BV404)),0,AVERAGE(BV381:BV404)),0)</f>
        <v>0</v>
      </c>
      <c r="BW406" s="24">
        <f>ROUND(IF(ISERROR(AVERAGE(BW381:BW404)),0,AVERAGE(BW381:BW404)),0)</f>
        <v>0</v>
      </c>
      <c r="BX406" s="24">
        <f t="shared" ref="BX406:DU406" si="188">ROUND(IF(ISERROR(AVERAGE(BX381:BX404)),0,AVERAGE(BX381:BX404)),0)</f>
        <v>0</v>
      </c>
      <c r="BY406" s="24">
        <f t="shared" si="188"/>
        <v>0</v>
      </c>
      <c r="BZ406" s="24">
        <f t="shared" si="188"/>
        <v>0</v>
      </c>
      <c r="CA406" s="24">
        <f t="shared" si="188"/>
        <v>0</v>
      </c>
      <c r="CB406" s="24">
        <f t="shared" si="188"/>
        <v>0</v>
      </c>
      <c r="CC406" s="24">
        <f t="shared" si="188"/>
        <v>0</v>
      </c>
      <c r="CD406" s="24">
        <f t="shared" si="188"/>
        <v>0</v>
      </c>
      <c r="CE406" s="24">
        <f t="shared" si="188"/>
        <v>0</v>
      </c>
      <c r="CF406" s="24">
        <f t="shared" si="188"/>
        <v>0</v>
      </c>
      <c r="CG406" s="24">
        <f t="shared" si="188"/>
        <v>0</v>
      </c>
      <c r="CH406" s="24">
        <f t="shared" si="188"/>
        <v>0</v>
      </c>
      <c r="CI406" s="24">
        <f t="shared" si="188"/>
        <v>0</v>
      </c>
      <c r="CJ406" s="24">
        <f t="shared" si="188"/>
        <v>0</v>
      </c>
      <c r="CK406" s="24">
        <f t="shared" si="188"/>
        <v>0</v>
      </c>
      <c r="CL406" s="24">
        <f t="shared" si="188"/>
        <v>0</v>
      </c>
      <c r="CM406" s="24">
        <f t="shared" si="188"/>
        <v>0</v>
      </c>
      <c r="CN406" s="24">
        <f t="shared" si="188"/>
        <v>0</v>
      </c>
      <c r="CO406" s="24">
        <f t="shared" si="188"/>
        <v>0</v>
      </c>
      <c r="CP406" s="24">
        <f t="shared" si="188"/>
        <v>0</v>
      </c>
      <c r="CQ406" s="24">
        <f t="shared" si="188"/>
        <v>0</v>
      </c>
      <c r="CR406" s="24">
        <f t="shared" si="188"/>
        <v>0</v>
      </c>
      <c r="CS406" s="24">
        <f t="shared" si="188"/>
        <v>0</v>
      </c>
      <c r="CT406" s="24">
        <f t="shared" si="188"/>
        <v>0</v>
      </c>
      <c r="CU406" s="24">
        <f t="shared" si="188"/>
        <v>0</v>
      </c>
      <c r="CV406" s="24">
        <f t="shared" si="188"/>
        <v>0</v>
      </c>
      <c r="CW406" s="24">
        <f t="shared" si="188"/>
        <v>0</v>
      </c>
      <c r="CX406" s="24">
        <f t="shared" si="188"/>
        <v>0</v>
      </c>
      <c r="CY406" s="24">
        <f t="shared" si="188"/>
        <v>0</v>
      </c>
      <c r="CZ406" s="24">
        <f t="shared" si="188"/>
        <v>0</v>
      </c>
      <c r="DA406" s="24">
        <f t="shared" si="188"/>
        <v>0</v>
      </c>
      <c r="DB406" s="24">
        <f t="shared" si="188"/>
        <v>0</v>
      </c>
      <c r="DC406" s="24">
        <f t="shared" si="188"/>
        <v>0</v>
      </c>
      <c r="DD406" s="24">
        <f t="shared" si="188"/>
        <v>0</v>
      </c>
      <c r="DE406" s="24">
        <f t="shared" si="188"/>
        <v>0</v>
      </c>
      <c r="DF406" s="24">
        <f t="shared" si="188"/>
        <v>0</v>
      </c>
      <c r="DG406" s="24">
        <f t="shared" si="188"/>
        <v>0</v>
      </c>
      <c r="DH406" s="24">
        <f t="shared" si="188"/>
        <v>0</v>
      </c>
      <c r="DI406" s="24">
        <f t="shared" si="188"/>
        <v>0</v>
      </c>
      <c r="DJ406" s="24">
        <f t="shared" si="188"/>
        <v>0</v>
      </c>
      <c r="DK406" s="24">
        <f t="shared" si="188"/>
        <v>0</v>
      </c>
      <c r="DL406" s="24">
        <f t="shared" si="188"/>
        <v>0</v>
      </c>
      <c r="DM406" s="24">
        <f t="shared" si="188"/>
        <v>0</v>
      </c>
      <c r="DN406" s="24">
        <f t="shared" si="188"/>
        <v>0</v>
      </c>
      <c r="DO406" s="24">
        <f t="shared" si="188"/>
        <v>0</v>
      </c>
      <c r="DP406" s="24">
        <f t="shared" si="188"/>
        <v>0</v>
      </c>
      <c r="DQ406" s="24">
        <f t="shared" si="188"/>
        <v>0</v>
      </c>
      <c r="DR406" s="24">
        <f t="shared" si="188"/>
        <v>0</v>
      </c>
      <c r="DS406" s="24">
        <f t="shared" si="188"/>
        <v>0</v>
      </c>
      <c r="DT406" s="24">
        <f t="shared" si="188"/>
        <v>0</v>
      </c>
      <c r="DU406" s="24">
        <f t="shared" si="188"/>
        <v>0</v>
      </c>
      <c r="DV406" s="18"/>
      <c r="DW406" s="48"/>
    </row>
    <row r="407" spans="1:129" customFormat="1">
      <c r="A407" s="210" t="s">
        <v>141</v>
      </c>
      <c r="B407" s="211"/>
      <c r="C407" s="8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30">
        <f>MEDIAN(S381:S404)</f>
        <v>40</v>
      </c>
      <c r="T407" s="10"/>
      <c r="U407" s="10"/>
      <c r="V407" s="10"/>
      <c r="W407" s="10"/>
      <c r="X407" s="5"/>
      <c r="Y407" s="10"/>
      <c r="Z407" s="8"/>
      <c r="AA407" s="10">
        <f>IF(ISERROR(MEDIAN(AA381:AA404)),"",MEDIAN(AA381:AA404))</f>
        <v>722762</v>
      </c>
      <c r="AB407" s="10"/>
      <c r="AC407" s="8"/>
      <c r="AD407" s="10"/>
      <c r="AE407" s="30"/>
      <c r="AF407" s="10"/>
      <c r="AG407" s="8"/>
      <c r="AH407" s="10"/>
      <c r="AI407" s="10">
        <f>IF(ISERROR(MEDIAN(AI381:AI404)),"",MEDIAN(AI381:AI404))</f>
        <v>136</v>
      </c>
      <c r="AJ407" s="5">
        <f>IF(ISERROR(MEDIAN(AJ381:AJ404)),"",MEDIAN(AJ381:AJ404))</f>
        <v>24</v>
      </c>
      <c r="AK407" s="10"/>
      <c r="AL407" s="8"/>
      <c r="AM407" s="10"/>
      <c r="AN407" s="30"/>
      <c r="AO407" s="10"/>
      <c r="AP407" s="10"/>
      <c r="AQ407" s="30"/>
      <c r="AR407" s="10"/>
      <c r="AS407" s="10"/>
      <c r="AT407" s="10"/>
      <c r="AU407" s="10"/>
      <c r="AV407" s="5"/>
      <c r="AW407" s="10"/>
      <c r="AX407" s="326"/>
      <c r="AY407" s="5"/>
      <c r="AZ407" s="10"/>
      <c r="BA407" s="8">
        <f>IF(ISERROR(MEDIAN(BA381:BA404)),"",MEDIAN(BA381:BA404))</f>
        <v>1698</v>
      </c>
      <c r="BB407" s="10"/>
      <c r="BC407" s="10"/>
      <c r="BD407" s="10"/>
      <c r="BE407" s="10"/>
      <c r="BF407" s="10"/>
      <c r="BG407" s="10"/>
      <c r="BH407" s="30"/>
      <c r="BI407" s="10"/>
      <c r="BJ407" s="338"/>
      <c r="BK407" s="338"/>
      <c r="BL407" s="303"/>
      <c r="BM407" s="5"/>
      <c r="BN407" s="10"/>
      <c r="BO407" s="8"/>
      <c r="BP407" s="5"/>
      <c r="BQ407" s="10"/>
      <c r="BR407" s="65"/>
      <c r="BS407" s="19"/>
      <c r="BT407" s="14"/>
      <c r="BU407" s="10"/>
      <c r="BV407" s="8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  <c r="DF407" s="10"/>
      <c r="DG407" s="10"/>
      <c r="DH407" s="10"/>
      <c r="DI407" s="10"/>
      <c r="DJ407" s="10"/>
      <c r="DK407" s="10"/>
      <c r="DL407" s="10"/>
      <c r="DM407" s="10"/>
      <c r="DN407" s="10"/>
      <c r="DO407" s="10"/>
      <c r="DP407" s="10"/>
      <c r="DQ407" s="10"/>
      <c r="DR407" s="10"/>
      <c r="DS407" s="10"/>
      <c r="DT407" s="10"/>
      <c r="DU407" s="10"/>
      <c r="DV407" s="5"/>
      <c r="DW407" s="21"/>
    </row>
    <row r="408" spans="1:129" customFormat="1" ht="12" thickBot="1">
      <c r="A408" s="214" t="s">
        <v>142</v>
      </c>
      <c r="B408" s="195"/>
      <c r="C408" s="4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32">
        <f>MODE(S381:S404)</f>
        <v>40</v>
      </c>
      <c r="T408" s="22"/>
      <c r="U408" s="22"/>
      <c r="V408" s="22"/>
      <c r="W408" s="22"/>
      <c r="X408" s="42"/>
      <c r="Y408" s="22"/>
      <c r="Z408" s="41"/>
      <c r="AA408" s="22"/>
      <c r="AB408" s="22"/>
      <c r="AC408" s="41"/>
      <c r="AD408" s="22"/>
      <c r="AE408" s="32"/>
      <c r="AF408" s="22"/>
      <c r="AG408" s="41"/>
      <c r="AH408" s="22"/>
      <c r="AI408" s="22">
        <f>IF(ISERROR(MODE(AI381:AI404)),"",MODE(AI381:AI404))</f>
        <v>160</v>
      </c>
      <c r="AJ408" s="42">
        <f>IF(ISERROR(MODE(AJ381:AJ404)),"",MODE(AJ381:AJ404))</f>
        <v>24</v>
      </c>
      <c r="AK408" s="22"/>
      <c r="AL408" s="41"/>
      <c r="AM408" s="22"/>
      <c r="AN408" s="32"/>
      <c r="AO408" s="22"/>
      <c r="AP408" s="22"/>
      <c r="AQ408" s="32"/>
      <c r="AR408" s="22"/>
      <c r="AS408" s="22"/>
      <c r="AT408" s="22"/>
      <c r="AU408" s="22"/>
      <c r="AV408" s="42"/>
      <c r="AW408" s="22"/>
      <c r="AX408" s="331"/>
      <c r="AY408" s="42"/>
      <c r="AZ408" s="22"/>
      <c r="BA408" s="41"/>
      <c r="BB408" s="22"/>
      <c r="BC408" s="22"/>
      <c r="BD408" s="22"/>
      <c r="BE408" s="22"/>
      <c r="BF408" s="22"/>
      <c r="BG408" s="22"/>
      <c r="BH408" s="32"/>
      <c r="BI408" s="22"/>
      <c r="BJ408" s="341"/>
      <c r="BK408" s="341"/>
      <c r="BL408" s="306"/>
      <c r="BM408" s="42"/>
      <c r="BN408" s="22"/>
      <c r="BO408" s="41"/>
      <c r="BP408" s="42"/>
      <c r="BQ408" s="22"/>
      <c r="BR408" s="66"/>
      <c r="BS408" s="51"/>
      <c r="BT408" s="67"/>
      <c r="BU408" s="22"/>
      <c r="BV408" s="41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22"/>
      <c r="CR408" s="22"/>
      <c r="CS408" s="22"/>
      <c r="CT408" s="22"/>
      <c r="CU408" s="22"/>
      <c r="CV408" s="22"/>
      <c r="CW408" s="22"/>
      <c r="CX408" s="22"/>
      <c r="CY408" s="22"/>
      <c r="CZ408" s="22"/>
      <c r="DA408" s="22"/>
      <c r="DB408" s="22"/>
      <c r="DC408" s="22"/>
      <c r="DD408" s="22"/>
      <c r="DE408" s="22"/>
      <c r="DF408" s="22"/>
      <c r="DG408" s="22"/>
      <c r="DH408" s="22"/>
      <c r="DI408" s="22"/>
      <c r="DJ408" s="22"/>
      <c r="DK408" s="22"/>
      <c r="DL408" s="22"/>
      <c r="DM408" s="22"/>
      <c r="DN408" s="22"/>
      <c r="DO408" s="22"/>
      <c r="DP408" s="22"/>
      <c r="DQ408" s="22"/>
      <c r="DR408" s="22"/>
      <c r="DS408" s="22"/>
      <c r="DT408" s="22"/>
      <c r="DU408" s="22"/>
      <c r="DV408" s="42"/>
      <c r="DW408" s="23"/>
    </row>
    <row r="409" spans="1:129" customFormat="1" ht="12" thickBot="1">
      <c r="A409" s="194"/>
      <c r="B409" s="194"/>
      <c r="C409" s="8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30"/>
      <c r="T409" s="10"/>
      <c r="U409" s="97">
        <f>U405/S405</f>
        <v>0.1932059447983015</v>
      </c>
      <c r="V409" s="97"/>
      <c r="W409" s="10"/>
      <c r="X409" s="5"/>
      <c r="Z409" s="8"/>
      <c r="AA409" s="10"/>
      <c r="AB409" s="10"/>
      <c r="AC409" s="8"/>
      <c r="AD409" s="10"/>
      <c r="AE409" s="30"/>
      <c r="AG409" s="8"/>
      <c r="AH409" s="10"/>
      <c r="AI409" s="10"/>
      <c r="AJ409" s="5"/>
      <c r="AL409" s="8"/>
      <c r="AM409" s="10"/>
      <c r="AN409" s="30"/>
      <c r="AO409" s="10"/>
      <c r="AP409" s="10"/>
      <c r="AQ409" s="30"/>
      <c r="AR409" s="10"/>
      <c r="AS409" s="10"/>
      <c r="AT409" s="10"/>
      <c r="AU409" s="10"/>
      <c r="AV409" s="5"/>
      <c r="AX409" s="326"/>
      <c r="AY409" s="5"/>
      <c r="AZ409" s="324"/>
      <c r="BA409" s="8"/>
      <c r="BB409" s="10"/>
      <c r="BC409" s="10"/>
      <c r="BD409" s="10"/>
      <c r="BE409" s="10"/>
      <c r="BF409" s="10"/>
      <c r="BG409" s="10"/>
      <c r="BH409" s="30"/>
      <c r="BI409" s="10"/>
      <c r="BJ409" s="338"/>
      <c r="BK409" s="338"/>
      <c r="BL409" s="303"/>
      <c r="BM409" s="5"/>
      <c r="BO409" s="8"/>
      <c r="BP409" s="5"/>
      <c r="BR409" s="65"/>
      <c r="BS409" s="19"/>
      <c r="BT409" s="14"/>
      <c r="BV409" s="8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  <c r="DG409" s="10"/>
      <c r="DH409" s="10"/>
      <c r="DI409" s="10"/>
      <c r="DJ409" s="10"/>
      <c r="DK409" s="10"/>
      <c r="DL409" s="10"/>
      <c r="DM409" s="10"/>
      <c r="DN409" s="10"/>
      <c r="DO409" s="10"/>
      <c r="DP409" s="10"/>
      <c r="DQ409" s="10"/>
      <c r="DR409" s="10"/>
      <c r="DS409" s="10"/>
      <c r="DT409" s="10"/>
      <c r="DU409" s="10"/>
      <c r="DV409" s="5"/>
    </row>
    <row r="410" spans="1:129" customFormat="1">
      <c r="A410" s="208">
        <v>37073</v>
      </c>
      <c r="B410" s="209"/>
      <c r="C410" s="36">
        <v>6</v>
      </c>
      <c r="D410" s="9">
        <v>21</v>
      </c>
      <c r="E410" s="9">
        <v>2</v>
      </c>
      <c r="F410" s="9">
        <v>1</v>
      </c>
      <c r="G410" s="9">
        <v>1</v>
      </c>
      <c r="H410" s="9">
        <v>0</v>
      </c>
      <c r="I410" s="9">
        <v>0</v>
      </c>
      <c r="J410" s="9">
        <v>5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1</v>
      </c>
      <c r="Q410" s="9">
        <v>0</v>
      </c>
      <c r="R410" s="9">
        <v>0</v>
      </c>
      <c r="S410" s="33">
        <f>SUM(C410:R410)</f>
        <v>37</v>
      </c>
      <c r="T410" s="9">
        <v>1</v>
      </c>
      <c r="U410" s="9">
        <v>6</v>
      </c>
      <c r="V410" s="9"/>
      <c r="W410" s="9">
        <v>0</v>
      </c>
      <c r="X410" s="37">
        <v>0</v>
      </c>
      <c r="Y410" s="9"/>
      <c r="Z410" s="36">
        <v>1270973</v>
      </c>
      <c r="AA410" s="9">
        <v>965902</v>
      </c>
      <c r="AB410" s="9"/>
      <c r="AC410" s="36">
        <v>866942</v>
      </c>
      <c r="AD410" s="9">
        <v>1254083</v>
      </c>
      <c r="AE410" s="33">
        <f t="shared" ref="AE410:AE433" si="189">SUM(AC410:AD410)</f>
        <v>2121025</v>
      </c>
      <c r="AF410" s="9"/>
      <c r="AG410" s="36">
        <v>82</v>
      </c>
      <c r="AH410" s="9">
        <v>47</v>
      </c>
      <c r="AI410" s="9">
        <v>144</v>
      </c>
      <c r="AJ410" s="37">
        <v>28</v>
      </c>
      <c r="AK410" s="9"/>
      <c r="AL410" s="36">
        <v>34</v>
      </c>
      <c r="AM410" s="9">
        <v>58</v>
      </c>
      <c r="AN410" s="33">
        <f>SUM(AL410:AM410)</f>
        <v>92</v>
      </c>
      <c r="AO410" s="9">
        <v>50</v>
      </c>
      <c r="AP410" s="9">
        <v>7</v>
      </c>
      <c r="AQ410" s="33">
        <f>SUM(AO410:AP410)</f>
        <v>57</v>
      </c>
      <c r="AR410" s="92">
        <v>131</v>
      </c>
      <c r="AS410" s="92">
        <v>40</v>
      </c>
      <c r="AT410" s="92">
        <v>157</v>
      </c>
      <c r="AU410" s="92">
        <v>23</v>
      </c>
      <c r="AV410" s="93">
        <v>223</v>
      </c>
      <c r="AW410" s="9"/>
      <c r="AX410" s="325"/>
      <c r="AY410" s="37"/>
      <c r="AZ410" s="9"/>
      <c r="BA410" s="36">
        <v>1703</v>
      </c>
      <c r="BB410" s="9">
        <v>34927623</v>
      </c>
      <c r="BC410" s="9"/>
      <c r="BD410" s="9"/>
      <c r="BE410" s="9">
        <v>48</v>
      </c>
      <c r="BF410" s="9">
        <v>8</v>
      </c>
      <c r="BG410" s="9">
        <v>3</v>
      </c>
      <c r="BH410" s="350"/>
      <c r="BI410" s="9">
        <v>1759290</v>
      </c>
      <c r="BJ410" s="337"/>
      <c r="BK410" s="337"/>
      <c r="BL410" s="302"/>
      <c r="BM410" s="37"/>
      <c r="BN410" s="9"/>
      <c r="BO410" s="36"/>
      <c r="BP410" s="37">
        <v>157</v>
      </c>
      <c r="BQ410" s="9"/>
      <c r="BR410" s="74">
        <v>2002</v>
      </c>
      <c r="BS410" s="75">
        <v>2001</v>
      </c>
      <c r="BT410" s="13">
        <v>13</v>
      </c>
      <c r="BU410" s="9"/>
      <c r="BV410" s="36"/>
      <c r="BW410" s="9"/>
      <c r="BX410" s="9"/>
      <c r="BY410" s="9"/>
      <c r="BZ410" s="9"/>
      <c r="CA410" s="9"/>
      <c r="CB410" s="9"/>
      <c r="CC410" s="223"/>
      <c r="CD410" s="9"/>
      <c r="CE410" s="220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220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44">
        <f t="shared" ref="DV410:DV434" si="190">SUM(BV410:DU410)</f>
        <v>0</v>
      </c>
      <c r="DW410" s="13" t="str">
        <f t="shared" ref="DW410:DW433" si="191">IF(DV410=S410,"","PROB")</f>
        <v>PROB</v>
      </c>
      <c r="DX410" s="369"/>
      <c r="DY410" s="369">
        <f>S410</f>
        <v>37</v>
      </c>
    </row>
    <row r="411" spans="1:129" customFormat="1">
      <c r="A411" s="210">
        <v>37087</v>
      </c>
      <c r="B411" s="211"/>
      <c r="C411" s="8">
        <v>1</v>
      </c>
      <c r="D411" s="10">
        <v>6</v>
      </c>
      <c r="E411" s="10">
        <v>0</v>
      </c>
      <c r="F411" s="59">
        <v>0</v>
      </c>
      <c r="G411" s="59">
        <v>4</v>
      </c>
      <c r="H411" s="59">
        <v>3</v>
      </c>
      <c r="I411" s="59">
        <v>0</v>
      </c>
      <c r="J411" s="59">
        <v>1</v>
      </c>
      <c r="K411" s="59">
        <v>0</v>
      </c>
      <c r="L411" s="59">
        <v>0</v>
      </c>
      <c r="M411" s="59">
        <v>0</v>
      </c>
      <c r="N411" s="59">
        <v>0</v>
      </c>
      <c r="O411" s="59">
        <v>2</v>
      </c>
      <c r="P411" s="59">
        <v>0</v>
      </c>
      <c r="Q411" s="59">
        <v>1</v>
      </c>
      <c r="R411" s="59">
        <v>0</v>
      </c>
      <c r="S411" s="35">
        <f>SUM(C411:R411)</f>
        <v>18</v>
      </c>
      <c r="T411" s="59">
        <v>0</v>
      </c>
      <c r="U411" s="59">
        <v>4</v>
      </c>
      <c r="V411" s="59"/>
      <c r="W411" s="59">
        <v>0</v>
      </c>
      <c r="X411" s="5">
        <v>0</v>
      </c>
      <c r="Y411" s="10"/>
      <c r="Z411" s="61">
        <v>1204682</v>
      </c>
      <c r="AA411" s="59">
        <v>575682</v>
      </c>
      <c r="AB411" s="59"/>
      <c r="AC411" s="61">
        <v>562304</v>
      </c>
      <c r="AD411" s="59">
        <v>563684</v>
      </c>
      <c r="AE411" s="35">
        <f t="shared" si="189"/>
        <v>1125988</v>
      </c>
      <c r="AF411" s="10"/>
      <c r="AG411" s="8">
        <v>68</v>
      </c>
      <c r="AH411" s="59">
        <v>49</v>
      </c>
      <c r="AI411" s="59">
        <v>130</v>
      </c>
      <c r="AJ411" s="5">
        <v>20</v>
      </c>
      <c r="AK411" s="10"/>
      <c r="AL411" s="8"/>
      <c r="AM411" s="10"/>
      <c r="AN411" s="35"/>
      <c r="AO411" s="10"/>
      <c r="AP411" s="10"/>
      <c r="AQ411" s="35"/>
      <c r="AR411" s="59">
        <v>134</v>
      </c>
      <c r="AS411" s="59">
        <v>49</v>
      </c>
      <c r="AT411" s="59">
        <v>157</v>
      </c>
      <c r="AU411" s="59">
        <v>23</v>
      </c>
      <c r="AV411" s="62">
        <v>232</v>
      </c>
      <c r="AW411" s="10"/>
      <c r="AX411" s="326"/>
      <c r="AY411" s="5"/>
      <c r="AZ411" s="10"/>
      <c r="BA411" s="8"/>
      <c r="BB411" s="10"/>
      <c r="BC411" s="10"/>
      <c r="BD411" s="10"/>
      <c r="BE411" s="10"/>
      <c r="BF411" s="10"/>
      <c r="BG411" s="10"/>
      <c r="BH411" s="30"/>
      <c r="BI411" s="10"/>
      <c r="BJ411" s="338"/>
      <c r="BK411" s="338"/>
      <c r="BL411" s="303"/>
      <c r="BM411" s="5"/>
      <c r="BN411" s="10"/>
      <c r="BO411" s="8"/>
      <c r="BP411" s="5"/>
      <c r="BQ411" s="10"/>
      <c r="BR411" s="29">
        <v>2002</v>
      </c>
      <c r="BS411" s="64">
        <v>2001</v>
      </c>
      <c r="BT411" s="14">
        <v>14</v>
      </c>
      <c r="BU411" s="10"/>
      <c r="BV411" s="8"/>
      <c r="BW411" s="10"/>
      <c r="BX411" s="10"/>
      <c r="BY411" s="10"/>
      <c r="BZ411" s="10"/>
      <c r="CA411" s="10"/>
      <c r="CB411" s="10"/>
      <c r="CC411" s="221"/>
      <c r="CD411" s="10"/>
      <c r="CE411" s="317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317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  <c r="DJ411" s="10"/>
      <c r="DK411" s="10"/>
      <c r="DL411" s="10"/>
      <c r="DM411" s="10"/>
      <c r="DN411" s="10"/>
      <c r="DO411" s="10"/>
      <c r="DP411" s="10"/>
      <c r="DQ411" s="10"/>
      <c r="DR411" s="10"/>
      <c r="DS411" s="10"/>
      <c r="DT411" s="10"/>
      <c r="DU411" s="10"/>
      <c r="DV411" s="38">
        <f t="shared" si="190"/>
        <v>0</v>
      </c>
      <c r="DW411" s="14" t="str">
        <f t="shared" si="191"/>
        <v>PROB</v>
      </c>
      <c r="DX411" s="369"/>
      <c r="DY411" s="369">
        <f>S411</f>
        <v>18</v>
      </c>
    </row>
    <row r="412" spans="1:129" customFormat="1">
      <c r="A412" s="210">
        <v>37104</v>
      </c>
      <c r="B412" s="211"/>
      <c r="C412" s="8">
        <v>1</v>
      </c>
      <c r="D412" s="10">
        <v>19</v>
      </c>
      <c r="E412" s="10">
        <v>0</v>
      </c>
      <c r="F412" s="59">
        <v>0</v>
      </c>
      <c r="G412" s="59">
        <v>3</v>
      </c>
      <c r="H412" s="59">
        <v>0</v>
      </c>
      <c r="I412" s="59">
        <v>0</v>
      </c>
      <c r="J412" s="59">
        <v>17</v>
      </c>
      <c r="K412" s="59">
        <v>0</v>
      </c>
      <c r="L412" s="59">
        <v>0</v>
      </c>
      <c r="M412" s="59">
        <v>0</v>
      </c>
      <c r="N412" s="59">
        <v>0</v>
      </c>
      <c r="O412" s="59">
        <v>12</v>
      </c>
      <c r="P412" s="59">
        <v>1</v>
      </c>
      <c r="Q412" s="59">
        <v>0</v>
      </c>
      <c r="R412" s="59">
        <v>0</v>
      </c>
      <c r="S412" s="35">
        <f>SUM(C412:R412)</f>
        <v>53</v>
      </c>
      <c r="T412" s="59">
        <v>3</v>
      </c>
      <c r="U412" s="59">
        <v>8</v>
      </c>
      <c r="V412" s="59"/>
      <c r="W412" s="59">
        <v>0</v>
      </c>
      <c r="X412" s="5">
        <v>0</v>
      </c>
      <c r="Y412" s="10"/>
      <c r="Z412" s="61">
        <v>1141190</v>
      </c>
      <c r="AA412" s="59">
        <v>756275</v>
      </c>
      <c r="AB412" s="59"/>
      <c r="AC412" s="61">
        <v>527535</v>
      </c>
      <c r="AD412" s="59">
        <v>1324776</v>
      </c>
      <c r="AE412" s="35">
        <f t="shared" si="189"/>
        <v>1852311</v>
      </c>
      <c r="AF412" s="10"/>
      <c r="AG412" s="8">
        <v>53</v>
      </c>
      <c r="AH412" s="59">
        <v>55</v>
      </c>
      <c r="AI412" s="59">
        <v>122</v>
      </c>
      <c r="AJ412" s="5">
        <v>24</v>
      </c>
      <c r="AK412" s="10"/>
      <c r="AL412" s="8"/>
      <c r="AM412" s="10"/>
      <c r="AN412" s="35"/>
      <c r="AO412" s="10">
        <v>50</v>
      </c>
      <c r="AP412" s="10">
        <v>8</v>
      </c>
      <c r="AQ412" s="35">
        <f>SUM(AO412:AP412)</f>
        <v>58</v>
      </c>
      <c r="AR412" s="59">
        <v>135</v>
      </c>
      <c r="AS412" s="59">
        <v>47</v>
      </c>
      <c r="AT412" s="59">
        <v>152</v>
      </c>
      <c r="AU412" s="59">
        <v>24</v>
      </c>
      <c r="AV412" s="62">
        <v>229</v>
      </c>
      <c r="AW412" s="10"/>
      <c r="AX412" s="326"/>
      <c r="AY412" s="5"/>
      <c r="AZ412" s="10"/>
      <c r="BA412" s="8">
        <v>1705</v>
      </c>
      <c r="BB412" s="10">
        <v>34554132</v>
      </c>
      <c r="BC412" s="10"/>
      <c r="BD412" s="10"/>
      <c r="BE412" s="59">
        <v>103</v>
      </c>
      <c r="BF412" s="59">
        <v>6</v>
      </c>
      <c r="BG412" s="59">
        <v>3</v>
      </c>
      <c r="BH412" s="351"/>
      <c r="BI412" s="10">
        <v>2296530</v>
      </c>
      <c r="BJ412" s="338"/>
      <c r="BK412" s="338"/>
      <c r="BL412" s="303"/>
      <c r="BM412" s="5"/>
      <c r="BN412" s="10"/>
      <c r="BO412" s="8"/>
      <c r="BP412" s="5">
        <v>157</v>
      </c>
      <c r="BQ412" s="10"/>
      <c r="BR412" s="29">
        <v>2002</v>
      </c>
      <c r="BS412" s="64">
        <v>2001</v>
      </c>
      <c r="BT412" s="14">
        <v>15</v>
      </c>
      <c r="BU412" s="10"/>
      <c r="BV412" s="8"/>
      <c r="BW412" s="10"/>
      <c r="BX412" s="10"/>
      <c r="BY412" s="10"/>
      <c r="BZ412" s="10"/>
      <c r="CA412" s="10"/>
      <c r="CB412" s="10"/>
      <c r="CC412" s="221"/>
      <c r="CD412" s="10"/>
      <c r="CE412" s="317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317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  <c r="DF412" s="10"/>
      <c r="DG412" s="10"/>
      <c r="DH412" s="10"/>
      <c r="DI412" s="10"/>
      <c r="DJ412" s="10"/>
      <c r="DK412" s="10"/>
      <c r="DL412" s="10"/>
      <c r="DM412" s="10"/>
      <c r="DN412" s="10"/>
      <c r="DO412" s="10"/>
      <c r="DP412" s="10"/>
      <c r="DQ412" s="10"/>
      <c r="DR412" s="10"/>
      <c r="DS412" s="10"/>
      <c r="DT412" s="10"/>
      <c r="DU412" s="10"/>
      <c r="DV412" s="38">
        <f t="shared" si="190"/>
        <v>0</v>
      </c>
      <c r="DW412" s="14" t="str">
        <f t="shared" si="191"/>
        <v>PROB</v>
      </c>
      <c r="DX412" s="369"/>
      <c r="DY412" s="369">
        <f>S412</f>
        <v>53</v>
      </c>
    </row>
    <row r="413" spans="1:129" customFormat="1">
      <c r="A413" s="210">
        <v>37118</v>
      </c>
      <c r="B413" s="211"/>
      <c r="C413" s="8">
        <v>1</v>
      </c>
      <c r="D413" s="59">
        <v>9</v>
      </c>
      <c r="E413" s="59">
        <v>1</v>
      </c>
      <c r="F413" s="59">
        <v>0</v>
      </c>
      <c r="G413" s="59">
        <v>6</v>
      </c>
      <c r="H413" s="59">
        <v>1</v>
      </c>
      <c r="I413" s="59">
        <v>0</v>
      </c>
      <c r="J413" s="59">
        <v>24</v>
      </c>
      <c r="K413" s="59">
        <v>0</v>
      </c>
      <c r="L413" s="59">
        <v>1</v>
      </c>
      <c r="M413" s="59">
        <v>0</v>
      </c>
      <c r="N413" s="59">
        <v>0</v>
      </c>
      <c r="O413" s="59">
        <v>14</v>
      </c>
      <c r="P413" s="59">
        <v>0</v>
      </c>
      <c r="Q413" s="59">
        <v>0</v>
      </c>
      <c r="R413" s="59">
        <v>0</v>
      </c>
      <c r="S413" s="35">
        <f>SUM(C413:R413)</f>
        <v>57</v>
      </c>
      <c r="T413" s="59">
        <v>6</v>
      </c>
      <c r="U413" s="59">
        <v>7</v>
      </c>
      <c r="V413" s="59"/>
      <c r="W413" s="59">
        <v>0</v>
      </c>
      <c r="X413" s="5">
        <v>0</v>
      </c>
      <c r="Y413" s="10"/>
      <c r="Z413" s="61">
        <v>1278723</v>
      </c>
      <c r="AA413" s="59">
        <v>1110799</v>
      </c>
      <c r="AB413" s="59"/>
      <c r="AC413" s="61">
        <v>717483</v>
      </c>
      <c r="AD413" s="59">
        <v>1541419</v>
      </c>
      <c r="AE413" s="35">
        <f t="shared" si="189"/>
        <v>2258902</v>
      </c>
      <c r="AF413" s="10"/>
      <c r="AG413" s="8">
        <v>57</v>
      </c>
      <c r="AH413" s="59">
        <v>62</v>
      </c>
      <c r="AI413" s="59">
        <v>134</v>
      </c>
      <c r="AJ413" s="5">
        <v>28</v>
      </c>
      <c r="AK413" s="10"/>
      <c r="AL413" s="8"/>
      <c r="AM413" s="10"/>
      <c r="AN413" s="35"/>
      <c r="AO413" s="10"/>
      <c r="AP413" s="10"/>
      <c r="AQ413" s="35"/>
      <c r="AR413" s="59">
        <v>133</v>
      </c>
      <c r="AS413" s="59">
        <v>48</v>
      </c>
      <c r="AT413" s="59">
        <v>147</v>
      </c>
      <c r="AU413" s="59">
        <v>26</v>
      </c>
      <c r="AV413" s="62">
        <v>226</v>
      </c>
      <c r="AW413" s="10"/>
      <c r="AX413" s="326"/>
      <c r="AY413" s="5"/>
      <c r="AZ413" s="10"/>
      <c r="BA413" s="8"/>
      <c r="BB413" s="10"/>
      <c r="BC413" s="10"/>
      <c r="BD413" s="10"/>
      <c r="BE413" s="10"/>
      <c r="BF413" s="10"/>
      <c r="BG413" s="10"/>
      <c r="BH413" s="30"/>
      <c r="BI413" s="10"/>
      <c r="BJ413" s="338"/>
      <c r="BK413" s="338"/>
      <c r="BL413" s="303"/>
      <c r="BM413" s="5"/>
      <c r="BN413" s="10"/>
      <c r="BO413" s="8"/>
      <c r="BP413" s="5"/>
      <c r="BQ413" s="10"/>
      <c r="BR413" s="29">
        <v>2002</v>
      </c>
      <c r="BS413" s="64">
        <v>2001</v>
      </c>
      <c r="BT413" s="14">
        <v>16</v>
      </c>
      <c r="BU413" s="10"/>
      <c r="BV413" s="8"/>
      <c r="BW413" s="10"/>
      <c r="BX413" s="10"/>
      <c r="BY413" s="10"/>
      <c r="BZ413" s="10"/>
      <c r="CA413" s="10"/>
      <c r="CB413" s="10"/>
      <c r="CC413" s="221"/>
      <c r="CD413" s="10"/>
      <c r="CE413" s="317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317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  <c r="DF413" s="10"/>
      <c r="DG413" s="10"/>
      <c r="DH413" s="10"/>
      <c r="DI413" s="10"/>
      <c r="DJ413" s="10"/>
      <c r="DK413" s="10"/>
      <c r="DL413" s="10"/>
      <c r="DM413" s="10"/>
      <c r="DN413" s="10"/>
      <c r="DO413" s="10"/>
      <c r="DP413" s="10"/>
      <c r="DQ413" s="10"/>
      <c r="DR413" s="10"/>
      <c r="DS413" s="10"/>
      <c r="DT413" s="10"/>
      <c r="DU413" s="10"/>
      <c r="DV413" s="38">
        <f t="shared" si="190"/>
        <v>0</v>
      </c>
      <c r="DW413" s="14" t="str">
        <f t="shared" si="191"/>
        <v>PROB</v>
      </c>
      <c r="DX413" s="369"/>
      <c r="DY413" s="369">
        <f>S413</f>
        <v>57</v>
      </c>
    </row>
    <row r="414" spans="1:129" customFormat="1">
      <c r="A414" s="210">
        <v>37135</v>
      </c>
      <c r="B414" s="211"/>
      <c r="C414" s="8">
        <v>2</v>
      </c>
      <c r="D414" s="59">
        <v>3</v>
      </c>
      <c r="E414" s="59">
        <v>0</v>
      </c>
      <c r="F414" s="59">
        <v>1</v>
      </c>
      <c r="G414" s="59">
        <v>2</v>
      </c>
      <c r="H414" s="59">
        <v>3</v>
      </c>
      <c r="I414" s="59">
        <v>0</v>
      </c>
      <c r="J414" s="59">
        <v>8</v>
      </c>
      <c r="K414" s="59">
        <v>0</v>
      </c>
      <c r="L414" s="59">
        <v>0</v>
      </c>
      <c r="M414" s="59">
        <v>0</v>
      </c>
      <c r="N414" s="59">
        <v>0</v>
      </c>
      <c r="O414" s="59">
        <v>7</v>
      </c>
      <c r="P414" s="59">
        <v>0</v>
      </c>
      <c r="Q414" s="59">
        <v>0</v>
      </c>
      <c r="R414" s="59">
        <v>0</v>
      </c>
      <c r="S414" s="35">
        <f>SUM(C414:R414)</f>
        <v>26</v>
      </c>
      <c r="T414" s="59">
        <v>5</v>
      </c>
      <c r="U414" s="59">
        <v>3</v>
      </c>
      <c r="V414" s="59"/>
      <c r="W414" s="59">
        <v>0</v>
      </c>
      <c r="X414" s="5">
        <v>0</v>
      </c>
      <c r="Y414" s="10"/>
      <c r="Z414" s="61">
        <v>1256688</v>
      </c>
      <c r="AA414" s="59">
        <v>532643</v>
      </c>
      <c r="AB414" s="59"/>
      <c r="AC414" s="61">
        <v>424499</v>
      </c>
      <c r="AD414" s="59">
        <v>801136</v>
      </c>
      <c r="AE414" s="35">
        <f t="shared" si="189"/>
        <v>1225635</v>
      </c>
      <c r="AF414" s="10"/>
      <c r="AG414" s="8">
        <v>47</v>
      </c>
      <c r="AH414" s="59">
        <v>66</v>
      </c>
      <c r="AI414" s="59">
        <v>128</v>
      </c>
      <c r="AJ414" s="5">
        <v>20</v>
      </c>
      <c r="AK414" s="10"/>
      <c r="AL414" s="8"/>
      <c r="AM414" s="10"/>
      <c r="AN414" s="35"/>
      <c r="AO414" s="10">
        <v>50</v>
      </c>
      <c r="AP414" s="10">
        <v>9</v>
      </c>
      <c r="AQ414" s="35">
        <f>SUM(AO414:AP414)</f>
        <v>59</v>
      </c>
      <c r="AR414" s="59">
        <v>135</v>
      </c>
      <c r="AS414" s="59">
        <v>48</v>
      </c>
      <c r="AT414" s="59">
        <v>151</v>
      </c>
      <c r="AU414" s="59">
        <v>27</v>
      </c>
      <c r="AV414" s="62">
        <v>231</v>
      </c>
      <c r="AW414" s="10"/>
      <c r="AX414" s="326"/>
      <c r="AY414" s="5"/>
      <c r="AZ414" s="10"/>
      <c r="BA414" s="8">
        <v>1707</v>
      </c>
      <c r="BB414" s="59">
        <v>34476038</v>
      </c>
      <c r="BC414" s="10"/>
      <c r="BD414" s="10"/>
      <c r="BE414" s="59">
        <v>50</v>
      </c>
      <c r="BF414" s="59">
        <v>2</v>
      </c>
      <c r="BG414" s="59">
        <v>0</v>
      </c>
      <c r="BH414" s="351"/>
      <c r="BI414" s="59">
        <v>2308043</v>
      </c>
      <c r="BJ414" s="342"/>
      <c r="BK414" s="342"/>
      <c r="BL414" s="307"/>
      <c r="BM414" s="5"/>
      <c r="BN414" s="10"/>
      <c r="BO414" s="8"/>
      <c r="BP414" s="5">
        <v>157</v>
      </c>
      <c r="BQ414" s="10"/>
      <c r="BR414" s="29">
        <v>2002</v>
      </c>
      <c r="BS414" s="64">
        <v>2001</v>
      </c>
      <c r="BT414" s="14">
        <v>17</v>
      </c>
      <c r="BU414" s="10"/>
      <c r="BV414" s="8"/>
      <c r="BW414" s="10"/>
      <c r="BX414" s="10"/>
      <c r="BY414" s="10"/>
      <c r="BZ414" s="10"/>
      <c r="CA414" s="10"/>
      <c r="CB414" s="10"/>
      <c r="CC414" s="221"/>
      <c r="CD414" s="10"/>
      <c r="CE414" s="317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317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  <c r="DG414" s="10"/>
      <c r="DH414" s="10"/>
      <c r="DI414" s="10"/>
      <c r="DJ414" s="10"/>
      <c r="DK414" s="10"/>
      <c r="DL414" s="10"/>
      <c r="DM414" s="10"/>
      <c r="DN414" s="10"/>
      <c r="DO414" s="10"/>
      <c r="DP414" s="10"/>
      <c r="DQ414" s="10"/>
      <c r="DR414" s="10"/>
      <c r="DS414" s="10"/>
      <c r="DT414" s="10"/>
      <c r="DU414" s="10"/>
      <c r="DV414" s="38">
        <f t="shared" si="190"/>
        <v>0</v>
      </c>
      <c r="DW414" s="14" t="str">
        <f t="shared" si="191"/>
        <v>PROB</v>
      </c>
      <c r="DX414" s="369"/>
      <c r="DY414" s="369">
        <f>S414</f>
        <v>26</v>
      </c>
    </row>
    <row r="415" spans="1:129" customFormat="1">
      <c r="A415" s="210">
        <v>37149</v>
      </c>
      <c r="B415" s="211"/>
      <c r="C415" s="8">
        <v>0</v>
      </c>
      <c r="D415" s="59">
        <v>20</v>
      </c>
      <c r="E415" s="59">
        <v>2</v>
      </c>
      <c r="F415" s="59">
        <v>0</v>
      </c>
      <c r="G415" s="59">
        <v>2</v>
      </c>
      <c r="H415" s="59">
        <v>1</v>
      </c>
      <c r="I415" s="59">
        <v>0</v>
      </c>
      <c r="J415" s="59">
        <v>10</v>
      </c>
      <c r="K415" s="59">
        <v>1</v>
      </c>
      <c r="L415" s="59">
        <v>0</v>
      </c>
      <c r="M415" s="59">
        <v>0</v>
      </c>
      <c r="N415" s="59">
        <v>0</v>
      </c>
      <c r="O415" s="59">
        <v>8</v>
      </c>
      <c r="P415" s="59">
        <v>3</v>
      </c>
      <c r="Q415" s="59">
        <v>0</v>
      </c>
      <c r="R415" s="59">
        <v>0</v>
      </c>
      <c r="S415" s="35">
        <f t="shared" ref="S415:S433" si="192">SUM(C415:R415)</f>
        <v>47</v>
      </c>
      <c r="T415" s="59">
        <v>9</v>
      </c>
      <c r="U415" s="59">
        <v>3</v>
      </c>
      <c r="V415" s="59"/>
      <c r="W415" s="59">
        <v>0</v>
      </c>
      <c r="X415" s="5">
        <v>0</v>
      </c>
      <c r="Y415" s="10"/>
      <c r="Z415" s="61">
        <v>1383103</v>
      </c>
      <c r="AA415" s="59">
        <v>743877</v>
      </c>
      <c r="AB415" s="59"/>
      <c r="AC415" s="61">
        <v>955003</v>
      </c>
      <c r="AD415" s="59">
        <v>979419</v>
      </c>
      <c r="AE415" s="35">
        <f t="shared" si="189"/>
        <v>1934422</v>
      </c>
      <c r="AF415" s="10"/>
      <c r="AG415" s="8">
        <v>59</v>
      </c>
      <c r="AH415" s="59">
        <v>70</v>
      </c>
      <c r="AI415" s="59">
        <v>144</v>
      </c>
      <c r="AJ415" s="5">
        <v>28</v>
      </c>
      <c r="AK415" s="10"/>
      <c r="AL415" s="8"/>
      <c r="AM415" s="10"/>
      <c r="AN415" s="35"/>
      <c r="AO415" s="59">
        <v>50</v>
      </c>
      <c r="AP415" s="59">
        <v>9</v>
      </c>
      <c r="AQ415" s="35">
        <f>SUM(AO415:AP415)</f>
        <v>59</v>
      </c>
      <c r="AR415" s="59">
        <v>146</v>
      </c>
      <c r="AS415" s="59">
        <v>48</v>
      </c>
      <c r="AT415" s="59">
        <v>146</v>
      </c>
      <c r="AU415" s="59">
        <v>27</v>
      </c>
      <c r="AV415" s="62">
        <v>226</v>
      </c>
      <c r="AW415" s="10"/>
      <c r="AX415" s="326"/>
      <c r="AY415" s="5"/>
      <c r="AZ415" s="10"/>
      <c r="BA415" s="8"/>
      <c r="BB415" s="10"/>
      <c r="BC415" s="10"/>
      <c r="BD415" s="10"/>
      <c r="BE415" s="59"/>
      <c r="BF415" s="59"/>
      <c r="BG415" s="59"/>
      <c r="BH415" s="351"/>
      <c r="BI415" s="59"/>
      <c r="BJ415" s="342"/>
      <c r="BK415" s="342"/>
      <c r="BL415" s="307"/>
      <c r="BM415" s="5"/>
      <c r="BN415" s="10"/>
      <c r="BO415" s="8"/>
      <c r="BP415" s="5"/>
      <c r="BQ415" s="10"/>
      <c r="BR415" s="29">
        <v>2002</v>
      </c>
      <c r="BS415" s="64">
        <v>2001</v>
      </c>
      <c r="BT415" s="14">
        <v>18</v>
      </c>
      <c r="BU415" s="10"/>
      <c r="BV415" s="8"/>
      <c r="BW415" s="10"/>
      <c r="BX415" s="10"/>
      <c r="BY415" s="10"/>
      <c r="BZ415" s="10"/>
      <c r="CA415" s="10"/>
      <c r="CB415" s="10"/>
      <c r="CC415" s="221"/>
      <c r="CD415" s="10"/>
      <c r="CE415" s="317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317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  <c r="DG415" s="10"/>
      <c r="DH415" s="10"/>
      <c r="DI415" s="10"/>
      <c r="DJ415" s="10"/>
      <c r="DK415" s="10"/>
      <c r="DL415" s="10"/>
      <c r="DM415" s="10"/>
      <c r="DN415" s="10"/>
      <c r="DO415" s="10"/>
      <c r="DP415" s="10"/>
      <c r="DQ415" s="10"/>
      <c r="DR415" s="10"/>
      <c r="DS415" s="10"/>
      <c r="DT415" s="10"/>
      <c r="DU415" s="10"/>
      <c r="DV415" s="38">
        <f t="shared" si="190"/>
        <v>0</v>
      </c>
      <c r="DW415" s="14" t="str">
        <f t="shared" si="191"/>
        <v>PROB</v>
      </c>
      <c r="DX415" s="369"/>
      <c r="DY415" s="369">
        <f t="shared" ref="DY415:DY433" si="193">S415</f>
        <v>47</v>
      </c>
    </row>
    <row r="416" spans="1:129" customFormat="1">
      <c r="A416" s="210">
        <v>37165</v>
      </c>
      <c r="B416" s="211"/>
      <c r="C416" s="8">
        <v>1</v>
      </c>
      <c r="D416" s="59">
        <v>8</v>
      </c>
      <c r="E416" s="59">
        <v>0</v>
      </c>
      <c r="F416" s="59">
        <v>0</v>
      </c>
      <c r="G416" s="59">
        <v>2</v>
      </c>
      <c r="H416" s="59">
        <v>0</v>
      </c>
      <c r="I416" s="59">
        <v>0</v>
      </c>
      <c r="J416" s="59">
        <v>5</v>
      </c>
      <c r="K416" s="59">
        <v>0</v>
      </c>
      <c r="L416" s="59">
        <v>0</v>
      </c>
      <c r="M416" s="59">
        <v>0</v>
      </c>
      <c r="N416" s="59">
        <v>0</v>
      </c>
      <c r="O416" s="59">
        <v>3</v>
      </c>
      <c r="P416" s="59">
        <v>2</v>
      </c>
      <c r="Q416" s="59">
        <v>0</v>
      </c>
      <c r="R416" s="59">
        <v>0</v>
      </c>
      <c r="S416" s="35">
        <f t="shared" si="192"/>
        <v>21</v>
      </c>
      <c r="T416" s="59">
        <v>0</v>
      </c>
      <c r="U416" s="59">
        <v>6</v>
      </c>
      <c r="V416" s="59"/>
      <c r="W416" s="59">
        <v>0</v>
      </c>
      <c r="X416" s="5">
        <v>0</v>
      </c>
      <c r="Y416" s="10"/>
      <c r="Z416" s="61">
        <v>3219968</v>
      </c>
      <c r="AA416" s="59"/>
      <c r="AB416" s="59"/>
      <c r="AC416" s="61">
        <v>247338</v>
      </c>
      <c r="AD416" s="59"/>
      <c r="AE416" s="35">
        <f t="shared" si="189"/>
        <v>247338</v>
      </c>
      <c r="AF416" s="10"/>
      <c r="AG416" s="8">
        <v>40</v>
      </c>
      <c r="AH416" s="59">
        <v>73</v>
      </c>
      <c r="AI416" s="59">
        <v>125</v>
      </c>
      <c r="AJ416" s="5"/>
      <c r="AK416" s="10"/>
      <c r="AL416" s="61">
        <v>34</v>
      </c>
      <c r="AM416" s="59">
        <v>62</v>
      </c>
      <c r="AN416" s="35">
        <f>SUM(AL416:AM416)</f>
        <v>96</v>
      </c>
      <c r="AO416" s="279"/>
      <c r="AP416" s="279"/>
      <c r="AQ416" s="281"/>
      <c r="AR416" s="59">
        <v>145</v>
      </c>
      <c r="AS416" s="59">
        <v>41</v>
      </c>
      <c r="AT416" s="59">
        <v>143</v>
      </c>
      <c r="AU416" s="59">
        <v>28</v>
      </c>
      <c r="AV416" s="62">
        <v>219</v>
      </c>
      <c r="AW416" s="10"/>
      <c r="AX416" s="326"/>
      <c r="AY416" s="5"/>
      <c r="AZ416" s="10"/>
      <c r="BA416" s="8">
        <v>1710</v>
      </c>
      <c r="BB416" s="59">
        <v>34285707</v>
      </c>
      <c r="BC416" s="10"/>
      <c r="BD416" s="10"/>
      <c r="BE416" s="59">
        <v>50</v>
      </c>
      <c r="BF416" s="59">
        <v>4</v>
      </c>
      <c r="BG416" s="59">
        <v>1</v>
      </c>
      <c r="BH416" s="351"/>
      <c r="BI416" s="59">
        <v>2062110</v>
      </c>
      <c r="BJ416" s="342"/>
      <c r="BK416" s="342"/>
      <c r="BL416" s="307"/>
      <c r="BM416" s="5"/>
      <c r="BN416" s="10"/>
      <c r="BO416" s="8"/>
      <c r="BP416" s="5">
        <v>156</v>
      </c>
      <c r="BQ416" s="10"/>
      <c r="BR416" s="29">
        <v>2002</v>
      </c>
      <c r="BS416" s="64">
        <v>2001</v>
      </c>
      <c r="BT416" s="14">
        <v>19</v>
      </c>
      <c r="BU416" s="10"/>
      <c r="BV416" s="8">
        <v>0</v>
      </c>
      <c r="BW416" s="10">
        <v>7</v>
      </c>
      <c r="BX416" s="59">
        <v>0</v>
      </c>
      <c r="BY416" s="59"/>
      <c r="BZ416" s="59"/>
      <c r="CA416" s="59"/>
      <c r="CB416" s="59"/>
      <c r="CC416" s="221"/>
      <c r="CD416" s="59">
        <v>2</v>
      </c>
      <c r="CE416" s="317">
        <v>0</v>
      </c>
      <c r="CF416" s="59">
        <v>0</v>
      </c>
      <c r="CG416" s="59">
        <v>0</v>
      </c>
      <c r="CH416" s="59"/>
      <c r="CI416" s="10">
        <v>2</v>
      </c>
      <c r="CJ416" s="59">
        <v>2</v>
      </c>
      <c r="CK416" s="59"/>
      <c r="CL416" s="59"/>
      <c r="CM416" s="59">
        <v>0</v>
      </c>
      <c r="CN416" s="59"/>
      <c r="CO416" s="59">
        <v>0</v>
      </c>
      <c r="CP416" s="317"/>
      <c r="CQ416" s="59"/>
      <c r="CR416" s="59"/>
      <c r="CS416" s="59">
        <v>0</v>
      </c>
      <c r="CT416" s="59">
        <v>0</v>
      </c>
      <c r="CU416" s="59">
        <v>0</v>
      </c>
      <c r="CV416" s="10">
        <v>2</v>
      </c>
      <c r="CW416" s="10"/>
      <c r="CX416" s="10"/>
      <c r="CY416" s="59">
        <v>0</v>
      </c>
      <c r="CZ416" s="59"/>
      <c r="DA416" s="59"/>
      <c r="DB416" s="10">
        <v>2</v>
      </c>
      <c r="DC416" s="10"/>
      <c r="DD416" s="10"/>
      <c r="DE416" s="10"/>
      <c r="DF416" s="10"/>
      <c r="DG416" s="59">
        <v>0</v>
      </c>
      <c r="DH416" s="59">
        <v>0</v>
      </c>
      <c r="DI416" s="59">
        <v>0</v>
      </c>
      <c r="DJ416" s="10">
        <v>1</v>
      </c>
      <c r="DK416" s="10"/>
      <c r="DL416" s="10"/>
      <c r="DM416" s="59">
        <v>0</v>
      </c>
      <c r="DN416" s="59"/>
      <c r="DO416" s="10">
        <v>2</v>
      </c>
      <c r="DP416" s="10"/>
      <c r="DQ416" s="10"/>
      <c r="DR416" s="10"/>
      <c r="DS416" s="10">
        <v>1</v>
      </c>
      <c r="DT416" s="59">
        <v>0</v>
      </c>
      <c r="DU416" s="59">
        <v>0</v>
      </c>
      <c r="DV416" s="38">
        <f t="shared" si="190"/>
        <v>21</v>
      </c>
      <c r="DW416" s="14" t="str">
        <f t="shared" si="191"/>
        <v/>
      </c>
      <c r="DX416" s="369"/>
      <c r="DY416" s="369">
        <f t="shared" si="193"/>
        <v>21</v>
      </c>
    </row>
    <row r="417" spans="1:129" customFormat="1">
      <c r="A417" s="210">
        <v>37179</v>
      </c>
      <c r="B417" s="211"/>
      <c r="C417" s="8">
        <v>3</v>
      </c>
      <c r="D417" s="59">
        <v>15</v>
      </c>
      <c r="E417" s="59">
        <v>0</v>
      </c>
      <c r="F417" s="59">
        <v>0</v>
      </c>
      <c r="G417" s="59">
        <v>1</v>
      </c>
      <c r="H417" s="59">
        <v>1</v>
      </c>
      <c r="I417" s="59">
        <v>0</v>
      </c>
      <c r="J417" s="59">
        <v>5</v>
      </c>
      <c r="K417" s="59">
        <v>0</v>
      </c>
      <c r="L417" s="59">
        <v>0</v>
      </c>
      <c r="M417" s="59">
        <v>0</v>
      </c>
      <c r="N417" s="59">
        <v>0</v>
      </c>
      <c r="O417" s="59">
        <v>3</v>
      </c>
      <c r="P417" s="59">
        <v>0</v>
      </c>
      <c r="Q417" s="59">
        <v>0</v>
      </c>
      <c r="R417" s="59">
        <v>0</v>
      </c>
      <c r="S417" s="35">
        <f t="shared" si="192"/>
        <v>28</v>
      </c>
      <c r="T417" s="59">
        <v>0</v>
      </c>
      <c r="U417" s="59">
        <v>7</v>
      </c>
      <c r="V417" s="59"/>
      <c r="W417" s="59">
        <v>0</v>
      </c>
      <c r="X417" s="5">
        <v>2</v>
      </c>
      <c r="Y417" s="10"/>
      <c r="Z417" s="61">
        <v>3525120</v>
      </c>
      <c r="AA417" s="59"/>
      <c r="AB417" s="59"/>
      <c r="AC417" s="61">
        <v>351700</v>
      </c>
      <c r="AD417" s="59"/>
      <c r="AE417" s="35">
        <f t="shared" si="189"/>
        <v>351700</v>
      </c>
      <c r="AF417" s="10"/>
      <c r="AG417" s="8">
        <v>59</v>
      </c>
      <c r="AH417" s="59">
        <v>76</v>
      </c>
      <c r="AI417" s="59">
        <v>152</v>
      </c>
      <c r="AJ417" s="5"/>
      <c r="AK417" s="10"/>
      <c r="AL417" s="8"/>
      <c r="AM417" s="10"/>
      <c r="AN417" s="35"/>
      <c r="AO417" s="279"/>
      <c r="AP417" s="279"/>
      <c r="AQ417" s="281"/>
      <c r="AR417" s="59">
        <v>147</v>
      </c>
      <c r="AS417" s="59">
        <v>41</v>
      </c>
      <c r="AT417" s="59">
        <v>142</v>
      </c>
      <c r="AU417" s="59">
        <v>28</v>
      </c>
      <c r="AV417" s="62">
        <v>218</v>
      </c>
      <c r="AW417" s="10"/>
      <c r="AX417" s="326"/>
      <c r="AY417" s="5"/>
      <c r="AZ417" s="10"/>
      <c r="BA417" s="8"/>
      <c r="BB417" s="10"/>
      <c r="BC417" s="10"/>
      <c r="BD417" s="10"/>
      <c r="BE417" s="59"/>
      <c r="BF417" s="59"/>
      <c r="BG417" s="59"/>
      <c r="BH417" s="351"/>
      <c r="BI417" s="59"/>
      <c r="BJ417" s="342"/>
      <c r="BK417" s="342"/>
      <c r="BL417" s="307"/>
      <c r="BM417" s="5"/>
      <c r="BN417" s="10"/>
      <c r="BO417" s="8"/>
      <c r="BP417" s="5"/>
      <c r="BQ417" s="10"/>
      <c r="BR417" s="29">
        <v>2002</v>
      </c>
      <c r="BS417" s="64">
        <v>2001</v>
      </c>
      <c r="BT417" s="14">
        <v>20</v>
      </c>
      <c r="BU417" s="10"/>
      <c r="BV417" s="8">
        <v>0</v>
      </c>
      <c r="BW417" s="10">
        <v>0</v>
      </c>
      <c r="BX417" s="59">
        <v>0</v>
      </c>
      <c r="BY417" s="59"/>
      <c r="BZ417" s="59"/>
      <c r="CA417" s="59"/>
      <c r="CB417" s="59"/>
      <c r="CC417" s="221"/>
      <c r="CD417" s="59">
        <v>7</v>
      </c>
      <c r="CE417" s="317">
        <v>0</v>
      </c>
      <c r="CF417" s="59">
        <v>4</v>
      </c>
      <c r="CG417" s="59">
        <v>0</v>
      </c>
      <c r="CH417" s="59"/>
      <c r="CI417" s="59">
        <v>0</v>
      </c>
      <c r="CJ417" s="59">
        <v>2</v>
      </c>
      <c r="CK417" s="59"/>
      <c r="CL417" s="59"/>
      <c r="CM417" s="59">
        <v>0</v>
      </c>
      <c r="CN417" s="59"/>
      <c r="CO417" s="59">
        <v>2</v>
      </c>
      <c r="CP417" s="317"/>
      <c r="CQ417" s="59"/>
      <c r="CR417" s="59"/>
      <c r="CS417" s="59">
        <v>0</v>
      </c>
      <c r="CT417" s="59">
        <v>1</v>
      </c>
      <c r="CU417" s="59">
        <v>0</v>
      </c>
      <c r="CV417" s="59">
        <v>0</v>
      </c>
      <c r="CW417" s="59"/>
      <c r="CX417" s="59"/>
      <c r="CY417" s="59">
        <v>2</v>
      </c>
      <c r="CZ417" s="59"/>
      <c r="DA417" s="59"/>
      <c r="DB417" s="59">
        <v>5</v>
      </c>
      <c r="DC417" s="59"/>
      <c r="DD417" s="59"/>
      <c r="DE417" s="59"/>
      <c r="DF417" s="59"/>
      <c r="DG417" s="59">
        <v>0</v>
      </c>
      <c r="DH417" s="59">
        <v>0</v>
      </c>
      <c r="DI417" s="59">
        <v>0</v>
      </c>
      <c r="DJ417" s="59">
        <v>0</v>
      </c>
      <c r="DK417" s="59"/>
      <c r="DL417" s="59"/>
      <c r="DM417" s="59">
        <v>3</v>
      </c>
      <c r="DN417" s="59"/>
      <c r="DO417" s="59">
        <v>2</v>
      </c>
      <c r="DP417" s="59"/>
      <c r="DQ417" s="59"/>
      <c r="DR417" s="59"/>
      <c r="DS417" s="59">
        <v>0</v>
      </c>
      <c r="DT417" s="59">
        <v>0</v>
      </c>
      <c r="DU417" s="59">
        <v>0</v>
      </c>
      <c r="DV417" s="38">
        <f t="shared" si="190"/>
        <v>28</v>
      </c>
      <c r="DW417" s="14" t="str">
        <f t="shared" si="191"/>
        <v/>
      </c>
      <c r="DX417" s="369"/>
      <c r="DY417" s="369">
        <f t="shared" si="193"/>
        <v>28</v>
      </c>
    </row>
    <row r="418" spans="1:129" customFormat="1">
      <c r="A418" s="210">
        <v>37196</v>
      </c>
      <c r="B418" s="211"/>
      <c r="C418" s="8">
        <v>3</v>
      </c>
      <c r="D418" s="59">
        <v>23</v>
      </c>
      <c r="E418" s="59">
        <v>3</v>
      </c>
      <c r="F418" s="59">
        <v>0</v>
      </c>
      <c r="G418" s="59">
        <v>1</v>
      </c>
      <c r="H418" s="59">
        <v>0</v>
      </c>
      <c r="I418" s="59">
        <v>0</v>
      </c>
      <c r="J418" s="59">
        <v>12</v>
      </c>
      <c r="K418" s="59">
        <v>0</v>
      </c>
      <c r="L418" s="59">
        <v>0</v>
      </c>
      <c r="M418" s="59">
        <v>0</v>
      </c>
      <c r="N418" s="59">
        <v>0</v>
      </c>
      <c r="O418" s="59">
        <v>5</v>
      </c>
      <c r="P418" s="59">
        <v>1</v>
      </c>
      <c r="Q418" s="59">
        <v>0</v>
      </c>
      <c r="R418" s="59">
        <v>0</v>
      </c>
      <c r="S418" s="35">
        <f t="shared" si="192"/>
        <v>48</v>
      </c>
      <c r="T418" s="59">
        <v>0</v>
      </c>
      <c r="U418" s="59">
        <v>16</v>
      </c>
      <c r="V418" s="59"/>
      <c r="W418" s="59">
        <v>0</v>
      </c>
      <c r="X418" s="5">
        <v>3</v>
      </c>
      <c r="Y418" s="10"/>
      <c r="Z418" s="61">
        <v>1928216</v>
      </c>
      <c r="AA418" s="59"/>
      <c r="AB418" s="59"/>
      <c r="AC418" s="61">
        <v>664757</v>
      </c>
      <c r="AD418" s="59"/>
      <c r="AE418" s="35">
        <f t="shared" si="189"/>
        <v>664757</v>
      </c>
      <c r="AF418" s="10"/>
      <c r="AG418" s="8">
        <v>108</v>
      </c>
      <c r="AH418" s="59">
        <v>26</v>
      </c>
      <c r="AI418" s="59">
        <v>147</v>
      </c>
      <c r="AJ418" s="5"/>
      <c r="AK418" s="10"/>
      <c r="AL418" s="8"/>
      <c r="AM418" s="10"/>
      <c r="AN418" s="35"/>
      <c r="AO418" s="279"/>
      <c r="AP418" s="279"/>
      <c r="AQ418" s="281"/>
      <c r="AR418" s="59">
        <v>149</v>
      </c>
      <c r="AS418" s="59">
        <v>40</v>
      </c>
      <c r="AT418" s="59">
        <v>142</v>
      </c>
      <c r="AU418" s="59">
        <v>28</v>
      </c>
      <c r="AV418" s="62">
        <v>217</v>
      </c>
      <c r="AW418" s="10"/>
      <c r="AX418" s="326"/>
      <c r="AY418" s="5"/>
      <c r="AZ418" s="10"/>
      <c r="BA418" s="8">
        <v>1713</v>
      </c>
      <c r="BB418" s="59">
        <v>34161116</v>
      </c>
      <c r="BC418" s="10"/>
      <c r="BD418" s="10"/>
      <c r="BE418" s="59">
        <v>70</v>
      </c>
      <c r="BF418" s="59">
        <v>5</v>
      </c>
      <c r="BG418" s="59">
        <v>2</v>
      </c>
      <c r="BH418" s="351"/>
      <c r="BI418" s="59">
        <v>2819602</v>
      </c>
      <c r="BJ418" s="342"/>
      <c r="BK418" s="342"/>
      <c r="BL418" s="307"/>
      <c r="BM418" s="5"/>
      <c r="BN418" s="10"/>
      <c r="BO418" s="8"/>
      <c r="BP418" s="5">
        <v>156</v>
      </c>
      <c r="BQ418" s="10"/>
      <c r="BR418" s="29">
        <v>2002</v>
      </c>
      <c r="BS418" s="64">
        <v>2001</v>
      </c>
      <c r="BT418" s="14">
        <v>21</v>
      </c>
      <c r="BU418" s="10"/>
      <c r="BV418" s="8">
        <v>0</v>
      </c>
      <c r="BW418" s="10">
        <v>0</v>
      </c>
      <c r="BX418" s="59">
        <v>4</v>
      </c>
      <c r="BY418" s="59"/>
      <c r="BZ418" s="59"/>
      <c r="CA418" s="59"/>
      <c r="CB418" s="59"/>
      <c r="CC418" s="221"/>
      <c r="CD418" s="59">
        <v>5</v>
      </c>
      <c r="CE418" s="317">
        <v>0</v>
      </c>
      <c r="CF418" s="59">
        <v>1</v>
      </c>
      <c r="CG418" s="59">
        <v>0</v>
      </c>
      <c r="CH418" s="59"/>
      <c r="CI418" s="59">
        <v>9</v>
      </c>
      <c r="CJ418" s="59">
        <v>11</v>
      </c>
      <c r="CK418" s="59"/>
      <c r="CL418" s="59"/>
      <c r="CM418" s="59">
        <v>0</v>
      </c>
      <c r="CN418" s="59"/>
      <c r="CO418" s="59">
        <v>0</v>
      </c>
      <c r="CP418" s="317"/>
      <c r="CQ418" s="59"/>
      <c r="CR418" s="59"/>
      <c r="CS418" s="59">
        <v>6</v>
      </c>
      <c r="CT418" s="59">
        <v>0</v>
      </c>
      <c r="CU418" s="59">
        <v>0</v>
      </c>
      <c r="CV418" s="59">
        <v>1</v>
      </c>
      <c r="CW418" s="59"/>
      <c r="CX418" s="59"/>
      <c r="CY418" s="59">
        <v>0</v>
      </c>
      <c r="CZ418" s="59"/>
      <c r="DA418" s="59"/>
      <c r="DB418" s="59">
        <v>0</v>
      </c>
      <c r="DC418" s="59"/>
      <c r="DD418" s="59"/>
      <c r="DE418" s="59"/>
      <c r="DF418" s="59"/>
      <c r="DG418" s="59">
        <v>1</v>
      </c>
      <c r="DH418" s="59">
        <v>0</v>
      </c>
      <c r="DI418" s="59">
        <v>3</v>
      </c>
      <c r="DJ418" s="59">
        <v>0</v>
      </c>
      <c r="DK418" s="59"/>
      <c r="DL418" s="59"/>
      <c r="DM418" s="59">
        <v>2</v>
      </c>
      <c r="DN418" s="59"/>
      <c r="DO418" s="59">
        <v>3</v>
      </c>
      <c r="DP418" s="59"/>
      <c r="DQ418" s="59"/>
      <c r="DR418" s="59"/>
      <c r="DS418" s="59">
        <v>0</v>
      </c>
      <c r="DT418" s="10">
        <v>2</v>
      </c>
      <c r="DU418" s="10">
        <v>0</v>
      </c>
      <c r="DV418" s="38">
        <f t="shared" si="190"/>
        <v>48</v>
      </c>
      <c r="DW418" s="14" t="str">
        <f t="shared" si="191"/>
        <v/>
      </c>
      <c r="DX418" s="369"/>
      <c r="DY418" s="369">
        <f t="shared" si="193"/>
        <v>48</v>
      </c>
    </row>
    <row r="419" spans="1:129" customFormat="1">
      <c r="A419" s="210">
        <v>37210</v>
      </c>
      <c r="B419" s="211"/>
      <c r="C419" s="8">
        <v>3</v>
      </c>
      <c r="D419" s="59">
        <v>12</v>
      </c>
      <c r="E419" s="59">
        <v>1</v>
      </c>
      <c r="F419" s="59">
        <v>2</v>
      </c>
      <c r="G419" s="59">
        <v>1</v>
      </c>
      <c r="H419" s="59">
        <v>0</v>
      </c>
      <c r="I419" s="59">
        <v>0</v>
      </c>
      <c r="J419" s="59">
        <v>24</v>
      </c>
      <c r="K419" s="59">
        <v>0</v>
      </c>
      <c r="L419" s="59">
        <v>0</v>
      </c>
      <c r="M419" s="59">
        <v>0</v>
      </c>
      <c r="N419" s="59">
        <v>0</v>
      </c>
      <c r="O419" s="59">
        <v>11</v>
      </c>
      <c r="P419" s="59">
        <v>1</v>
      </c>
      <c r="Q419" s="59">
        <v>3</v>
      </c>
      <c r="R419" s="59">
        <v>1</v>
      </c>
      <c r="S419" s="35">
        <f t="shared" si="192"/>
        <v>59</v>
      </c>
      <c r="T419" s="59">
        <v>0</v>
      </c>
      <c r="U419" s="59">
        <v>20</v>
      </c>
      <c r="V419" s="59"/>
      <c r="W419" s="59">
        <v>0</v>
      </c>
      <c r="X419" s="5">
        <v>1</v>
      </c>
      <c r="Y419" s="10"/>
      <c r="Z419" s="61">
        <v>1893888</v>
      </c>
      <c r="AA419" s="59"/>
      <c r="AB419" s="59"/>
      <c r="AC419" s="61">
        <v>652592</v>
      </c>
      <c r="AD419" s="59"/>
      <c r="AE419" s="35">
        <f t="shared" si="189"/>
        <v>652592</v>
      </c>
      <c r="AF419" s="10"/>
      <c r="AG419" s="8">
        <v>95</v>
      </c>
      <c r="AH419" s="59">
        <v>26</v>
      </c>
      <c r="AI419" s="59">
        <v>139</v>
      </c>
      <c r="AJ419" s="5"/>
      <c r="AK419" s="10"/>
      <c r="AL419" s="8"/>
      <c r="AM419" s="10"/>
      <c r="AN419" s="35"/>
      <c r="AO419" s="279"/>
      <c r="AP419" s="279"/>
      <c r="AQ419" s="281"/>
      <c r="AR419" s="59">
        <v>153</v>
      </c>
      <c r="AS419" s="59"/>
      <c r="AT419" s="59"/>
      <c r="AU419" s="59"/>
      <c r="AV419" s="62"/>
      <c r="AW419" s="10"/>
      <c r="AX419" s="326"/>
      <c r="AY419" s="5"/>
      <c r="AZ419" s="10"/>
      <c r="BA419" s="8"/>
      <c r="BB419" s="10"/>
      <c r="BC419" s="10"/>
      <c r="BD419" s="10"/>
      <c r="BE419" s="59"/>
      <c r="BF419" s="59"/>
      <c r="BG419" s="59"/>
      <c r="BH419" s="351"/>
      <c r="BI419" s="59"/>
      <c r="BJ419" s="342"/>
      <c r="BK419" s="342"/>
      <c r="BL419" s="307"/>
      <c r="BM419" s="5"/>
      <c r="BN419" s="10"/>
      <c r="BO419" s="8"/>
      <c r="BP419" s="5"/>
      <c r="BQ419" s="10"/>
      <c r="BR419" s="29">
        <v>2002</v>
      </c>
      <c r="BS419" s="64">
        <v>2001</v>
      </c>
      <c r="BT419" s="14">
        <v>22</v>
      </c>
      <c r="BU419" s="10"/>
      <c r="BV419" s="8">
        <v>4</v>
      </c>
      <c r="BW419" s="59">
        <v>17</v>
      </c>
      <c r="BX419" s="59">
        <v>1</v>
      </c>
      <c r="BY419" s="59"/>
      <c r="BZ419" s="59"/>
      <c r="CA419" s="59"/>
      <c r="CB419" s="59"/>
      <c r="CC419" s="221"/>
      <c r="CD419" s="59">
        <v>6</v>
      </c>
      <c r="CE419" s="317">
        <v>0</v>
      </c>
      <c r="CF419" s="59">
        <v>3</v>
      </c>
      <c r="CG419" s="59">
        <v>0</v>
      </c>
      <c r="CH419" s="59"/>
      <c r="CI419" s="59">
        <v>0</v>
      </c>
      <c r="CJ419" s="59">
        <v>11</v>
      </c>
      <c r="CK419" s="59"/>
      <c r="CL419" s="59"/>
      <c r="CM419" s="59">
        <v>0</v>
      </c>
      <c r="CN419" s="59">
        <v>1</v>
      </c>
      <c r="CO419" s="59">
        <v>3</v>
      </c>
      <c r="CP419" s="317"/>
      <c r="CQ419" s="59"/>
      <c r="CR419" s="59"/>
      <c r="CS419" s="59">
        <v>0</v>
      </c>
      <c r="CT419" s="59">
        <v>0</v>
      </c>
      <c r="CU419" s="59">
        <v>0</v>
      </c>
      <c r="CV419" s="59">
        <v>3</v>
      </c>
      <c r="CW419" s="59"/>
      <c r="CX419" s="59"/>
      <c r="CY419" s="59">
        <v>1</v>
      </c>
      <c r="CZ419" s="59">
        <v>1</v>
      </c>
      <c r="DA419" s="59"/>
      <c r="DB419" s="59">
        <v>2</v>
      </c>
      <c r="DC419" s="59"/>
      <c r="DD419" s="59"/>
      <c r="DE419" s="59"/>
      <c r="DF419" s="59"/>
      <c r="DG419" s="59">
        <v>2</v>
      </c>
      <c r="DH419" s="59">
        <v>0</v>
      </c>
      <c r="DI419" s="59">
        <v>0</v>
      </c>
      <c r="DJ419" s="59">
        <v>0</v>
      </c>
      <c r="DK419" s="59"/>
      <c r="DL419" s="59"/>
      <c r="DM419" s="59">
        <v>2</v>
      </c>
      <c r="DN419" s="59"/>
      <c r="DO419" s="59">
        <v>1</v>
      </c>
      <c r="DP419" s="59"/>
      <c r="DQ419" s="59"/>
      <c r="DR419" s="59"/>
      <c r="DS419" s="59">
        <v>0</v>
      </c>
      <c r="DT419" s="59">
        <v>0</v>
      </c>
      <c r="DU419" s="59">
        <v>1</v>
      </c>
      <c r="DV419" s="38">
        <f t="shared" si="190"/>
        <v>59</v>
      </c>
      <c r="DW419" s="14" t="str">
        <f t="shared" si="191"/>
        <v/>
      </c>
      <c r="DX419" s="369"/>
      <c r="DY419" s="369">
        <f t="shared" si="193"/>
        <v>59</v>
      </c>
    </row>
    <row r="420" spans="1:129" customFormat="1">
      <c r="A420" s="210">
        <v>37226</v>
      </c>
      <c r="B420" s="211"/>
      <c r="C420" s="8">
        <v>1</v>
      </c>
      <c r="D420" s="59">
        <v>29</v>
      </c>
      <c r="E420" s="59">
        <v>8</v>
      </c>
      <c r="F420" s="59">
        <v>1</v>
      </c>
      <c r="G420" s="59">
        <v>3</v>
      </c>
      <c r="H420" s="59">
        <v>0</v>
      </c>
      <c r="I420" s="59">
        <v>0</v>
      </c>
      <c r="J420" s="59">
        <v>33</v>
      </c>
      <c r="K420" s="59">
        <v>0</v>
      </c>
      <c r="L420" s="59">
        <v>0</v>
      </c>
      <c r="M420" s="59">
        <v>0</v>
      </c>
      <c r="N420" s="59">
        <v>0</v>
      </c>
      <c r="O420" s="59">
        <v>1</v>
      </c>
      <c r="P420" s="59">
        <v>0</v>
      </c>
      <c r="Q420" s="59">
        <v>0</v>
      </c>
      <c r="R420" s="59">
        <v>7</v>
      </c>
      <c r="S420" s="35">
        <f t="shared" si="192"/>
        <v>83</v>
      </c>
      <c r="T420" s="59">
        <v>0</v>
      </c>
      <c r="U420" s="59">
        <v>17</v>
      </c>
      <c r="V420" s="59"/>
      <c r="W420" s="59">
        <v>0</v>
      </c>
      <c r="X420" s="5">
        <v>0</v>
      </c>
      <c r="Y420" s="10"/>
      <c r="Z420" s="61">
        <v>1399808</v>
      </c>
      <c r="AA420" s="59"/>
      <c r="AB420" s="59"/>
      <c r="AC420" s="61">
        <v>881699</v>
      </c>
      <c r="AD420" s="59"/>
      <c r="AE420" s="35">
        <f t="shared" si="189"/>
        <v>881699</v>
      </c>
      <c r="AF420" s="10"/>
      <c r="AG420" s="8">
        <v>144</v>
      </c>
      <c r="AH420" s="59">
        <v>1</v>
      </c>
      <c r="AI420" s="59">
        <v>160</v>
      </c>
      <c r="AJ420" s="5"/>
      <c r="AK420" s="10"/>
      <c r="AL420" s="8"/>
      <c r="AM420" s="10"/>
      <c r="AN420" s="35"/>
      <c r="AO420" s="279"/>
      <c r="AP420" s="279"/>
      <c r="AQ420" s="281"/>
      <c r="AR420" s="59">
        <v>156</v>
      </c>
      <c r="AS420" s="59"/>
      <c r="AT420" s="59"/>
      <c r="AU420" s="59"/>
      <c r="AV420" s="62"/>
      <c r="AW420" s="10"/>
      <c r="AX420" s="326"/>
      <c r="AY420" s="5"/>
      <c r="AZ420" s="10"/>
      <c r="BA420" s="8">
        <v>1715</v>
      </c>
      <c r="BB420" s="10">
        <v>33972431</v>
      </c>
      <c r="BC420" s="10"/>
      <c r="BD420" s="10"/>
      <c r="BE420" s="59">
        <v>54</v>
      </c>
      <c r="BF420" s="59">
        <v>2</v>
      </c>
      <c r="BG420" s="59">
        <v>0</v>
      </c>
      <c r="BH420" s="351"/>
      <c r="BI420" s="59">
        <v>778781</v>
      </c>
      <c r="BJ420" s="342"/>
      <c r="BK420" s="342"/>
      <c r="BL420" s="307"/>
      <c r="BM420" s="5"/>
      <c r="BN420" s="10"/>
      <c r="BO420" s="8"/>
      <c r="BP420" s="5">
        <v>156</v>
      </c>
      <c r="BQ420" s="10"/>
      <c r="BR420" s="29">
        <v>2002</v>
      </c>
      <c r="BS420" s="64">
        <v>2001</v>
      </c>
      <c r="BT420" s="14">
        <v>23</v>
      </c>
      <c r="BU420" s="10"/>
      <c r="BV420" s="8">
        <v>0</v>
      </c>
      <c r="BW420" s="59">
        <v>4</v>
      </c>
      <c r="BX420" s="59">
        <v>0</v>
      </c>
      <c r="BY420" s="59"/>
      <c r="BZ420" s="59"/>
      <c r="CA420" s="59"/>
      <c r="CB420" s="59"/>
      <c r="CC420" s="221"/>
      <c r="CD420" s="59">
        <v>5</v>
      </c>
      <c r="CE420" s="317">
        <v>0</v>
      </c>
      <c r="CF420" s="59">
        <v>0</v>
      </c>
      <c r="CG420" s="59">
        <v>0</v>
      </c>
      <c r="CH420" s="59"/>
      <c r="CI420" s="59">
        <v>9</v>
      </c>
      <c r="CJ420" s="59">
        <v>3</v>
      </c>
      <c r="CK420" s="59"/>
      <c r="CL420" s="59"/>
      <c r="CM420" s="59">
        <v>0</v>
      </c>
      <c r="CN420" s="59"/>
      <c r="CO420" s="59">
        <v>4</v>
      </c>
      <c r="CP420" s="317"/>
      <c r="CQ420" s="59"/>
      <c r="CR420" s="59"/>
      <c r="CS420" s="59">
        <v>1</v>
      </c>
      <c r="CT420" s="59">
        <v>1</v>
      </c>
      <c r="CU420" s="59">
        <v>0</v>
      </c>
      <c r="CV420" s="59">
        <v>4</v>
      </c>
      <c r="CW420" s="59"/>
      <c r="CX420" s="59"/>
      <c r="CY420" s="59">
        <v>0</v>
      </c>
      <c r="CZ420" s="59"/>
      <c r="DA420" s="59"/>
      <c r="DB420" s="59">
        <v>29</v>
      </c>
      <c r="DC420" s="59"/>
      <c r="DD420" s="59"/>
      <c r="DE420" s="59"/>
      <c r="DF420" s="59"/>
      <c r="DG420" s="59">
        <v>7</v>
      </c>
      <c r="DH420" s="59">
        <v>0</v>
      </c>
      <c r="DI420" s="59">
        <v>0</v>
      </c>
      <c r="DJ420" s="59">
        <v>1</v>
      </c>
      <c r="DK420" s="59"/>
      <c r="DL420" s="59"/>
      <c r="DM420" s="59">
        <v>0</v>
      </c>
      <c r="DN420" s="59"/>
      <c r="DO420" s="59">
        <v>0</v>
      </c>
      <c r="DP420" s="59"/>
      <c r="DQ420" s="59"/>
      <c r="DR420" s="59"/>
      <c r="DS420" s="59">
        <v>7</v>
      </c>
      <c r="DT420" s="59">
        <v>1</v>
      </c>
      <c r="DU420" s="59">
        <v>7</v>
      </c>
      <c r="DV420" s="38">
        <f t="shared" si="190"/>
        <v>83</v>
      </c>
      <c r="DW420" s="14" t="str">
        <f t="shared" si="191"/>
        <v/>
      </c>
      <c r="DX420" s="369"/>
      <c r="DY420" s="369">
        <f t="shared" si="193"/>
        <v>83</v>
      </c>
    </row>
    <row r="421" spans="1:129" customFormat="1">
      <c r="A421" s="210">
        <v>37240</v>
      </c>
      <c r="B421" s="211"/>
      <c r="C421" s="8">
        <v>1</v>
      </c>
      <c r="D421" s="59">
        <v>12</v>
      </c>
      <c r="E421" s="59">
        <v>1</v>
      </c>
      <c r="F421" s="59">
        <v>0</v>
      </c>
      <c r="G421" s="59">
        <v>1</v>
      </c>
      <c r="H421" s="59">
        <v>2</v>
      </c>
      <c r="I421" s="59">
        <v>0</v>
      </c>
      <c r="J421" s="59">
        <v>7</v>
      </c>
      <c r="K421" s="59">
        <v>0</v>
      </c>
      <c r="L421" s="59">
        <v>0</v>
      </c>
      <c r="M421" s="59">
        <v>0</v>
      </c>
      <c r="N421" s="59">
        <v>0</v>
      </c>
      <c r="O421" s="59">
        <v>4</v>
      </c>
      <c r="P421" s="59">
        <v>0</v>
      </c>
      <c r="Q421" s="59">
        <v>0</v>
      </c>
      <c r="R421" s="59">
        <v>2</v>
      </c>
      <c r="S421" s="35">
        <f t="shared" si="192"/>
        <v>30</v>
      </c>
      <c r="T421" s="59">
        <v>0</v>
      </c>
      <c r="U421" s="59">
        <v>14</v>
      </c>
      <c r="V421" s="59"/>
      <c r="W421" s="59">
        <v>0</v>
      </c>
      <c r="X421" s="5">
        <v>0</v>
      </c>
      <c r="Y421" s="10"/>
      <c r="Z421" s="61">
        <v>3772416</v>
      </c>
      <c r="AA421" s="59"/>
      <c r="AB421" s="59"/>
      <c r="AC421" s="61">
        <v>452887</v>
      </c>
      <c r="AD421" s="59"/>
      <c r="AE421" s="35">
        <f t="shared" si="189"/>
        <v>452887</v>
      </c>
      <c r="AF421" s="10"/>
      <c r="AG421" s="8">
        <v>58</v>
      </c>
      <c r="AH421" s="59">
        <v>90</v>
      </c>
      <c r="AI421" s="59">
        <v>156</v>
      </c>
      <c r="AJ421" s="5"/>
      <c r="AK421" s="10"/>
      <c r="AL421" s="8"/>
      <c r="AM421" s="10"/>
      <c r="AN421" s="35"/>
      <c r="AO421" s="279"/>
      <c r="AP421" s="279"/>
      <c r="AQ421" s="281"/>
      <c r="AR421" s="59">
        <v>159</v>
      </c>
      <c r="AS421" s="59"/>
      <c r="AT421" s="59"/>
      <c r="AU421" s="59"/>
      <c r="AV421" s="62"/>
      <c r="AW421" s="10"/>
      <c r="AX421" s="326"/>
      <c r="AY421" s="5"/>
      <c r="AZ421" s="10"/>
      <c r="BA421" s="8"/>
      <c r="BB421" s="10"/>
      <c r="BC421" s="10"/>
      <c r="BD421" s="10"/>
      <c r="BE421" s="59"/>
      <c r="BF421" s="59"/>
      <c r="BG421" s="59"/>
      <c r="BH421" s="351"/>
      <c r="BI421" s="59"/>
      <c r="BJ421" s="342"/>
      <c r="BK421" s="342"/>
      <c r="BL421" s="307"/>
      <c r="BM421" s="5"/>
      <c r="BN421" s="10"/>
      <c r="BO421" s="8"/>
      <c r="BP421" s="5"/>
      <c r="BQ421" s="10"/>
      <c r="BR421" s="29">
        <v>2002</v>
      </c>
      <c r="BS421" s="64">
        <v>2001</v>
      </c>
      <c r="BT421" s="14">
        <v>24</v>
      </c>
      <c r="BU421" s="10"/>
      <c r="BV421" s="8">
        <v>0</v>
      </c>
      <c r="BW421" s="59">
        <v>0</v>
      </c>
      <c r="BX421" s="59">
        <v>1</v>
      </c>
      <c r="BY421" s="59"/>
      <c r="BZ421" s="59"/>
      <c r="CA421" s="59"/>
      <c r="CB421" s="59"/>
      <c r="CC421" s="221"/>
      <c r="CD421" s="59">
        <v>1</v>
      </c>
      <c r="CE421" s="317">
        <v>0</v>
      </c>
      <c r="CF421" s="59">
        <v>0</v>
      </c>
      <c r="CG421" s="59">
        <v>1</v>
      </c>
      <c r="CH421" s="59"/>
      <c r="CI421" s="59">
        <v>2</v>
      </c>
      <c r="CJ421" s="59">
        <v>1</v>
      </c>
      <c r="CK421" s="59"/>
      <c r="CL421" s="59"/>
      <c r="CM421" s="59">
        <v>0</v>
      </c>
      <c r="CN421" s="59"/>
      <c r="CO421" s="59">
        <v>1</v>
      </c>
      <c r="CP421" s="317"/>
      <c r="CQ421" s="59"/>
      <c r="CR421" s="59"/>
      <c r="CS421" s="59">
        <v>0</v>
      </c>
      <c r="CT421" s="59">
        <v>0</v>
      </c>
      <c r="CU421" s="59">
        <v>0</v>
      </c>
      <c r="CV421" s="59">
        <v>1</v>
      </c>
      <c r="CW421" s="59"/>
      <c r="CX421" s="59"/>
      <c r="CY421" s="59">
        <v>12</v>
      </c>
      <c r="CZ421" s="59"/>
      <c r="DA421" s="59"/>
      <c r="DB421" s="59">
        <v>3</v>
      </c>
      <c r="DC421" s="59"/>
      <c r="DD421" s="59"/>
      <c r="DE421" s="59"/>
      <c r="DF421" s="59"/>
      <c r="DG421" s="59">
        <v>0</v>
      </c>
      <c r="DH421" s="59">
        <v>0</v>
      </c>
      <c r="DI421" s="59">
        <v>1</v>
      </c>
      <c r="DJ421" s="59">
        <v>0</v>
      </c>
      <c r="DK421" s="59"/>
      <c r="DL421" s="59"/>
      <c r="DM421" s="59">
        <v>1</v>
      </c>
      <c r="DN421" s="59"/>
      <c r="DO421" s="59">
        <v>1</v>
      </c>
      <c r="DP421" s="59"/>
      <c r="DQ421" s="59"/>
      <c r="DR421" s="59"/>
      <c r="DS421" s="59">
        <v>0</v>
      </c>
      <c r="DT421" s="59">
        <v>2</v>
      </c>
      <c r="DU421" s="59">
        <v>2</v>
      </c>
      <c r="DV421" s="38">
        <f t="shared" si="190"/>
        <v>30</v>
      </c>
      <c r="DW421" s="14" t="str">
        <f t="shared" si="191"/>
        <v/>
      </c>
      <c r="DX421" s="369"/>
      <c r="DY421" s="369">
        <f t="shared" si="193"/>
        <v>30</v>
      </c>
    </row>
    <row r="422" spans="1:129" customFormat="1">
      <c r="A422" s="210">
        <v>37257</v>
      </c>
      <c r="B422" s="211"/>
      <c r="C422" s="8">
        <v>0</v>
      </c>
      <c r="D422" s="59">
        <v>5</v>
      </c>
      <c r="E422" s="59">
        <v>0</v>
      </c>
      <c r="F422" s="59">
        <v>0</v>
      </c>
      <c r="G422" s="59">
        <v>0</v>
      </c>
      <c r="H422" s="59">
        <v>0</v>
      </c>
      <c r="I422" s="59">
        <v>0</v>
      </c>
      <c r="J422" s="59">
        <v>10</v>
      </c>
      <c r="K422" s="59">
        <v>0</v>
      </c>
      <c r="L422" s="59">
        <v>0</v>
      </c>
      <c r="M422" s="59">
        <v>0</v>
      </c>
      <c r="N422" s="59">
        <v>0</v>
      </c>
      <c r="O422" s="59">
        <v>2</v>
      </c>
      <c r="P422" s="59">
        <v>0</v>
      </c>
      <c r="Q422" s="59">
        <v>0</v>
      </c>
      <c r="R422" s="59">
        <v>0</v>
      </c>
      <c r="S422" s="35">
        <f t="shared" si="192"/>
        <v>17</v>
      </c>
      <c r="T422" s="59">
        <v>0</v>
      </c>
      <c r="U422" s="59">
        <v>6</v>
      </c>
      <c r="V422" s="59"/>
      <c r="W422" s="59">
        <v>0</v>
      </c>
      <c r="X422" s="5">
        <v>0</v>
      </c>
      <c r="Y422" s="10"/>
      <c r="Z422" s="61">
        <v>3642880</v>
      </c>
      <c r="AA422" s="59"/>
      <c r="AB422" s="59"/>
      <c r="AC422" s="61">
        <v>105987</v>
      </c>
      <c r="AD422" s="59"/>
      <c r="AE422" s="35">
        <f t="shared" si="189"/>
        <v>105987</v>
      </c>
      <c r="AF422" s="10"/>
      <c r="AG422" s="8">
        <v>19</v>
      </c>
      <c r="AH422" s="59">
        <v>92</v>
      </c>
      <c r="AI422" s="59">
        <v>124</v>
      </c>
      <c r="AJ422" s="5"/>
      <c r="AK422" s="10"/>
      <c r="AL422" s="8">
        <v>34</v>
      </c>
      <c r="AM422" s="59">
        <v>63</v>
      </c>
      <c r="AN422" s="35">
        <f>SUM(AL422:AM422)</f>
        <v>97</v>
      </c>
      <c r="AO422" s="279"/>
      <c r="AP422" s="279"/>
      <c r="AQ422" s="281"/>
      <c r="AR422" s="59">
        <v>163</v>
      </c>
      <c r="AS422" s="59"/>
      <c r="AT422" s="59"/>
      <c r="AU422" s="59"/>
      <c r="AV422" s="62"/>
      <c r="AW422" s="10"/>
      <c r="AX422" s="326"/>
      <c r="AY422" s="5"/>
      <c r="AZ422" s="10"/>
      <c r="BA422" s="8">
        <v>1718</v>
      </c>
      <c r="BB422" s="10">
        <v>33921739</v>
      </c>
      <c r="BC422" s="10"/>
      <c r="BD422" s="10"/>
      <c r="BE422" s="59">
        <v>69</v>
      </c>
      <c r="BF422" s="59">
        <v>7</v>
      </c>
      <c r="BG422" s="59">
        <v>4</v>
      </c>
      <c r="BH422" s="351"/>
      <c r="BI422" s="59">
        <v>2624393</v>
      </c>
      <c r="BJ422" s="342"/>
      <c r="BK422" s="342"/>
      <c r="BL422" s="307"/>
      <c r="BM422" s="5">
        <f>376+549+847+546+282+347+446+300+387+200</f>
        <v>4280</v>
      </c>
      <c r="BN422" s="10"/>
      <c r="BO422" s="8"/>
      <c r="BP422" s="62">
        <v>156</v>
      </c>
      <c r="BQ422" s="10"/>
      <c r="BR422" s="29">
        <v>2002</v>
      </c>
      <c r="BS422" s="64">
        <v>2002</v>
      </c>
      <c r="BT422" s="14">
        <v>1</v>
      </c>
      <c r="BU422" s="10"/>
      <c r="BV422" s="8">
        <v>1</v>
      </c>
      <c r="BW422" s="59">
        <v>0</v>
      </c>
      <c r="BX422" s="59">
        <v>1</v>
      </c>
      <c r="BY422" s="59"/>
      <c r="BZ422" s="59"/>
      <c r="CA422" s="59"/>
      <c r="CB422" s="59"/>
      <c r="CC422" s="221"/>
      <c r="CD422" s="59">
        <v>0</v>
      </c>
      <c r="CE422" s="317">
        <v>0</v>
      </c>
      <c r="CF422" s="59">
        <v>1</v>
      </c>
      <c r="CG422" s="59">
        <v>1</v>
      </c>
      <c r="CH422" s="59"/>
      <c r="CI422" s="59">
        <v>0</v>
      </c>
      <c r="CJ422" s="59">
        <v>0</v>
      </c>
      <c r="CK422" s="59"/>
      <c r="CL422" s="59"/>
      <c r="CM422" s="59">
        <v>0</v>
      </c>
      <c r="CN422" s="59"/>
      <c r="CO422" s="59">
        <v>1</v>
      </c>
      <c r="CP422" s="317"/>
      <c r="CQ422" s="59"/>
      <c r="CR422" s="59"/>
      <c r="CS422" s="59">
        <v>1</v>
      </c>
      <c r="CT422" s="59">
        <v>1</v>
      </c>
      <c r="CU422" s="59">
        <v>0</v>
      </c>
      <c r="CV422" s="59">
        <v>1</v>
      </c>
      <c r="CW422" s="59"/>
      <c r="CX422" s="59"/>
      <c r="CY422" s="59">
        <v>0</v>
      </c>
      <c r="CZ422" s="59"/>
      <c r="DA422" s="59"/>
      <c r="DB422" s="59">
        <v>1</v>
      </c>
      <c r="DC422" s="59"/>
      <c r="DD422" s="59"/>
      <c r="DE422" s="59"/>
      <c r="DF422" s="59"/>
      <c r="DG422" s="59">
        <v>1</v>
      </c>
      <c r="DH422" s="59">
        <v>1</v>
      </c>
      <c r="DI422" s="59">
        <v>0</v>
      </c>
      <c r="DJ422" s="59">
        <v>1</v>
      </c>
      <c r="DK422" s="59"/>
      <c r="DL422" s="59"/>
      <c r="DM422" s="59">
        <v>0</v>
      </c>
      <c r="DN422" s="59"/>
      <c r="DO422" s="59">
        <v>2</v>
      </c>
      <c r="DP422" s="59"/>
      <c r="DQ422" s="59"/>
      <c r="DR422" s="59"/>
      <c r="DS422" s="59">
        <v>1</v>
      </c>
      <c r="DT422" s="59">
        <v>2</v>
      </c>
      <c r="DU422" s="59">
        <v>0</v>
      </c>
      <c r="DV422" s="38">
        <f t="shared" si="190"/>
        <v>17</v>
      </c>
      <c r="DW422" s="14" t="str">
        <f t="shared" si="191"/>
        <v/>
      </c>
      <c r="DX422" s="369"/>
      <c r="DY422" s="369">
        <f t="shared" si="193"/>
        <v>17</v>
      </c>
    </row>
    <row r="423" spans="1:129" customFormat="1">
      <c r="A423" s="210">
        <v>37271</v>
      </c>
      <c r="B423" s="211"/>
      <c r="C423" s="8">
        <v>1</v>
      </c>
      <c r="D423" s="59">
        <v>17</v>
      </c>
      <c r="E423" s="59">
        <v>1</v>
      </c>
      <c r="F423" s="59">
        <v>0</v>
      </c>
      <c r="G423" s="59">
        <v>0</v>
      </c>
      <c r="H423" s="59">
        <v>5</v>
      </c>
      <c r="I423" s="59">
        <v>0</v>
      </c>
      <c r="J423" s="59">
        <v>15</v>
      </c>
      <c r="K423" s="59">
        <v>0</v>
      </c>
      <c r="L423" s="59">
        <v>0</v>
      </c>
      <c r="M423" s="59">
        <v>0</v>
      </c>
      <c r="N423" s="59">
        <v>0</v>
      </c>
      <c r="O423" s="59">
        <v>4</v>
      </c>
      <c r="P423" s="59">
        <v>0</v>
      </c>
      <c r="Q423" s="59">
        <v>0</v>
      </c>
      <c r="R423" s="59">
        <v>0</v>
      </c>
      <c r="S423" s="35">
        <f t="shared" si="192"/>
        <v>43</v>
      </c>
      <c r="T423" s="59">
        <v>0</v>
      </c>
      <c r="U423" s="59">
        <v>7</v>
      </c>
      <c r="V423" s="59"/>
      <c r="W423" s="59">
        <v>0</v>
      </c>
      <c r="X423" s="5">
        <v>0</v>
      </c>
      <c r="Y423" s="10"/>
      <c r="Z423" s="61">
        <v>4027904</v>
      </c>
      <c r="AA423" s="59"/>
      <c r="AB423" s="59"/>
      <c r="AC423" s="61">
        <v>251903</v>
      </c>
      <c r="AD423" s="59"/>
      <c r="AE423" s="35">
        <f t="shared" si="189"/>
        <v>251903</v>
      </c>
      <c r="AF423" s="10"/>
      <c r="AG423" s="8">
        <v>51</v>
      </c>
      <c r="AH423" s="59">
        <v>95</v>
      </c>
      <c r="AI423" s="59">
        <v>162</v>
      </c>
      <c r="AJ423" s="5"/>
      <c r="AK423" s="10"/>
      <c r="AL423" s="8"/>
      <c r="AM423" s="10"/>
      <c r="AN423" s="35"/>
      <c r="AO423" s="279"/>
      <c r="AP423" s="279"/>
      <c r="AQ423" s="281"/>
      <c r="AR423" s="59">
        <v>163</v>
      </c>
      <c r="AS423" s="59"/>
      <c r="AT423" s="59"/>
      <c r="AU423" s="59"/>
      <c r="AV423" s="62"/>
      <c r="AW423" s="10"/>
      <c r="AX423" s="326"/>
      <c r="AY423" s="5"/>
      <c r="AZ423" s="10"/>
      <c r="BA423" s="8"/>
      <c r="BB423" s="10"/>
      <c r="BC423" s="10"/>
      <c r="BD423" s="10"/>
      <c r="BE423" s="10"/>
      <c r="BF423" s="10"/>
      <c r="BG423" s="10"/>
      <c r="BH423" s="30"/>
      <c r="BI423" s="10"/>
      <c r="BJ423" s="338"/>
      <c r="BK423" s="338"/>
      <c r="BL423" s="303"/>
      <c r="BM423" s="5"/>
      <c r="BN423" s="10"/>
      <c r="BO423" s="8"/>
      <c r="BP423" s="5"/>
      <c r="BQ423" s="10"/>
      <c r="BR423" s="29">
        <v>2002</v>
      </c>
      <c r="BS423" s="64">
        <v>2002</v>
      </c>
      <c r="BT423" s="14">
        <v>2</v>
      </c>
      <c r="BU423" s="10"/>
      <c r="BV423" s="8">
        <v>0</v>
      </c>
      <c r="BW423" s="59">
        <v>0</v>
      </c>
      <c r="BX423" s="59">
        <v>14</v>
      </c>
      <c r="BY423" s="59"/>
      <c r="BZ423" s="59"/>
      <c r="CA423" s="59"/>
      <c r="CB423" s="59"/>
      <c r="CC423" s="221"/>
      <c r="CD423" s="59">
        <v>5</v>
      </c>
      <c r="CE423" s="317">
        <v>0</v>
      </c>
      <c r="CF423" s="59">
        <v>3</v>
      </c>
      <c r="CG423" s="59">
        <v>0</v>
      </c>
      <c r="CH423" s="59"/>
      <c r="CI423" s="59">
        <v>0</v>
      </c>
      <c r="CJ423" s="59">
        <v>0</v>
      </c>
      <c r="CK423" s="59"/>
      <c r="CL423" s="59"/>
      <c r="CM423" s="59">
        <v>0</v>
      </c>
      <c r="CN423" s="59"/>
      <c r="CO423" s="59">
        <v>6</v>
      </c>
      <c r="CP423" s="317"/>
      <c r="CQ423" s="59"/>
      <c r="CR423" s="59"/>
      <c r="CS423" s="59">
        <v>0</v>
      </c>
      <c r="CT423" s="59">
        <v>0</v>
      </c>
      <c r="CU423" s="59">
        <v>0</v>
      </c>
      <c r="CV423" s="59">
        <v>2</v>
      </c>
      <c r="CW423" s="59"/>
      <c r="CX423" s="59"/>
      <c r="CY423" s="59">
        <v>0</v>
      </c>
      <c r="CZ423" s="59"/>
      <c r="DA423" s="59"/>
      <c r="DB423" s="59">
        <v>4</v>
      </c>
      <c r="DC423" s="59"/>
      <c r="DD423" s="59"/>
      <c r="DE423" s="59"/>
      <c r="DF423" s="59"/>
      <c r="DG423" s="59">
        <v>3</v>
      </c>
      <c r="DH423" s="59">
        <v>0</v>
      </c>
      <c r="DI423" s="59">
        <v>0</v>
      </c>
      <c r="DJ423" s="59">
        <v>1</v>
      </c>
      <c r="DK423" s="59"/>
      <c r="DL423" s="59"/>
      <c r="DM423" s="59">
        <v>2</v>
      </c>
      <c r="DN423" s="59"/>
      <c r="DO423" s="59">
        <v>3</v>
      </c>
      <c r="DP423" s="59"/>
      <c r="DQ423" s="59"/>
      <c r="DR423" s="59"/>
      <c r="DS423" s="59">
        <v>0</v>
      </c>
      <c r="DT423" s="59">
        <v>0</v>
      </c>
      <c r="DU423" s="59">
        <v>0</v>
      </c>
      <c r="DV423" s="38">
        <f t="shared" si="190"/>
        <v>43</v>
      </c>
      <c r="DW423" s="14" t="str">
        <f t="shared" si="191"/>
        <v/>
      </c>
      <c r="DX423" s="369"/>
      <c r="DY423" s="369">
        <f t="shared" si="193"/>
        <v>43</v>
      </c>
    </row>
    <row r="424" spans="1:129" customFormat="1">
      <c r="A424" s="210">
        <v>37288</v>
      </c>
      <c r="B424" s="211"/>
      <c r="C424" s="8">
        <v>2</v>
      </c>
      <c r="D424" s="59">
        <v>13</v>
      </c>
      <c r="E424" s="59">
        <v>0</v>
      </c>
      <c r="F424" s="59">
        <v>2</v>
      </c>
      <c r="G424" s="59">
        <v>1</v>
      </c>
      <c r="H424" s="59">
        <v>1</v>
      </c>
      <c r="I424" s="59">
        <v>0</v>
      </c>
      <c r="J424" s="59">
        <v>19</v>
      </c>
      <c r="K424" s="59">
        <v>4</v>
      </c>
      <c r="L424" s="59">
        <v>0</v>
      </c>
      <c r="M424" s="59">
        <v>0</v>
      </c>
      <c r="N424" s="59">
        <v>0</v>
      </c>
      <c r="O424" s="59">
        <v>3</v>
      </c>
      <c r="P424" s="59">
        <v>0</v>
      </c>
      <c r="Q424" s="59">
        <v>0</v>
      </c>
      <c r="R424" s="59">
        <v>0</v>
      </c>
      <c r="S424" s="35">
        <f t="shared" si="192"/>
        <v>45</v>
      </c>
      <c r="T424" s="59">
        <v>0</v>
      </c>
      <c r="U424" s="59">
        <v>14</v>
      </c>
      <c r="V424" s="59"/>
      <c r="W424" s="59">
        <v>0</v>
      </c>
      <c r="X424" s="5">
        <v>2</v>
      </c>
      <c r="Y424" s="10"/>
      <c r="Z424" s="61">
        <v>1235968</v>
      </c>
      <c r="AA424" s="59"/>
      <c r="AB424" s="59"/>
      <c r="AC424" s="61">
        <v>843085</v>
      </c>
      <c r="AD424" s="59"/>
      <c r="AE424" s="35">
        <f t="shared" si="189"/>
        <v>843085</v>
      </c>
      <c r="AF424" s="10"/>
      <c r="AG424" s="8">
        <v>122</v>
      </c>
      <c r="AH424" s="59">
        <v>1</v>
      </c>
      <c r="AI424" s="59">
        <v>144</v>
      </c>
      <c r="AJ424" s="5"/>
      <c r="AK424" s="10"/>
      <c r="AL424" s="8"/>
      <c r="AM424" s="10"/>
      <c r="AN424" s="35"/>
      <c r="AO424" s="279"/>
      <c r="AP424" s="279"/>
      <c r="AQ424" s="281"/>
      <c r="AR424" s="59">
        <v>164</v>
      </c>
      <c r="AS424" s="59"/>
      <c r="AT424" s="59"/>
      <c r="AU424" s="59"/>
      <c r="AV424" s="62"/>
      <c r="AW424" s="10"/>
      <c r="AX424" s="326"/>
      <c r="AY424" s="5"/>
      <c r="AZ424" s="10"/>
      <c r="BA424" s="8">
        <v>1713</v>
      </c>
      <c r="BB424" s="10">
        <v>33602062</v>
      </c>
      <c r="BC424" s="10"/>
      <c r="BD424" s="10"/>
      <c r="BE424" s="10">
        <v>91</v>
      </c>
      <c r="BF424" s="59">
        <v>4</v>
      </c>
      <c r="BG424" s="59">
        <v>9</v>
      </c>
      <c r="BH424" s="351"/>
      <c r="BI424" s="59">
        <v>1922429</v>
      </c>
      <c r="BJ424" s="342"/>
      <c r="BK424" s="342"/>
      <c r="BL424" s="307"/>
      <c r="BM424" s="5"/>
      <c r="BN424" s="10"/>
      <c r="BO424" s="8"/>
      <c r="BP424" s="5">
        <v>156</v>
      </c>
      <c r="BQ424" s="10"/>
      <c r="BR424" s="29">
        <v>2002</v>
      </c>
      <c r="BS424" s="64">
        <v>2002</v>
      </c>
      <c r="BT424" s="14">
        <v>3</v>
      </c>
      <c r="BU424" s="10"/>
      <c r="BV424" s="8">
        <v>0</v>
      </c>
      <c r="BW424" s="59">
        <v>0</v>
      </c>
      <c r="BX424" s="59">
        <v>0</v>
      </c>
      <c r="BY424" s="59"/>
      <c r="BZ424" s="59"/>
      <c r="CA424" s="59"/>
      <c r="CB424" s="59"/>
      <c r="CC424" s="221"/>
      <c r="CD424" s="59">
        <v>5</v>
      </c>
      <c r="CE424" s="317">
        <v>0</v>
      </c>
      <c r="CF424" s="59">
        <v>0</v>
      </c>
      <c r="CG424" s="59">
        <v>0</v>
      </c>
      <c r="CH424" s="59"/>
      <c r="CI424" s="59">
        <v>4</v>
      </c>
      <c r="CJ424" s="59">
        <v>1</v>
      </c>
      <c r="CK424" s="59"/>
      <c r="CL424" s="59"/>
      <c r="CM424" s="59">
        <v>0</v>
      </c>
      <c r="CN424" s="59"/>
      <c r="CO424" s="59">
        <v>3</v>
      </c>
      <c r="CP424" s="317"/>
      <c r="CQ424" s="59"/>
      <c r="CR424" s="59"/>
      <c r="CS424" s="59">
        <v>0</v>
      </c>
      <c r="CT424" s="59">
        <v>2</v>
      </c>
      <c r="CU424" s="59">
        <v>0</v>
      </c>
      <c r="CV424" s="59">
        <v>2</v>
      </c>
      <c r="CW424" s="59"/>
      <c r="CX424" s="59"/>
      <c r="CY424" s="59">
        <v>9</v>
      </c>
      <c r="CZ424" s="59"/>
      <c r="DA424" s="59"/>
      <c r="DB424" s="59">
        <v>9</v>
      </c>
      <c r="DC424" s="59"/>
      <c r="DD424" s="59"/>
      <c r="DE424" s="59"/>
      <c r="DF424" s="59"/>
      <c r="DG424" s="59">
        <v>4</v>
      </c>
      <c r="DH424" s="59">
        <v>0</v>
      </c>
      <c r="DI424" s="59">
        <v>2</v>
      </c>
      <c r="DJ424" s="59">
        <v>2</v>
      </c>
      <c r="DK424" s="59"/>
      <c r="DL424" s="59"/>
      <c r="DM424" s="59">
        <v>0</v>
      </c>
      <c r="DN424" s="59"/>
      <c r="DO424" s="59">
        <v>0</v>
      </c>
      <c r="DP424" s="59"/>
      <c r="DQ424" s="59"/>
      <c r="DR424" s="59"/>
      <c r="DS424" s="59">
        <v>0</v>
      </c>
      <c r="DT424" s="59">
        <v>2</v>
      </c>
      <c r="DU424" s="59">
        <v>0</v>
      </c>
      <c r="DV424" s="38">
        <f t="shared" si="190"/>
        <v>45</v>
      </c>
      <c r="DW424" s="14" t="str">
        <f t="shared" si="191"/>
        <v/>
      </c>
      <c r="DX424" s="369"/>
      <c r="DY424" s="369">
        <f t="shared" si="193"/>
        <v>45</v>
      </c>
    </row>
    <row r="425" spans="1:129" customFormat="1">
      <c r="A425" s="210">
        <v>37302</v>
      </c>
      <c r="B425" s="211"/>
      <c r="C425" s="8">
        <v>4</v>
      </c>
      <c r="D425" s="59">
        <v>6</v>
      </c>
      <c r="E425" s="59">
        <v>0</v>
      </c>
      <c r="F425" s="59">
        <v>1</v>
      </c>
      <c r="G425" s="59">
        <v>1</v>
      </c>
      <c r="H425" s="59">
        <v>0</v>
      </c>
      <c r="I425" s="59">
        <v>0</v>
      </c>
      <c r="J425" s="59">
        <v>30</v>
      </c>
      <c r="K425" s="59">
        <v>0</v>
      </c>
      <c r="L425" s="59">
        <v>0</v>
      </c>
      <c r="M425" s="59">
        <v>0</v>
      </c>
      <c r="N425" s="59">
        <v>0</v>
      </c>
      <c r="O425" s="59">
        <v>10</v>
      </c>
      <c r="P425" s="59">
        <v>0</v>
      </c>
      <c r="Q425" s="59">
        <v>0</v>
      </c>
      <c r="R425" s="59">
        <v>0</v>
      </c>
      <c r="S425" s="35">
        <f t="shared" si="192"/>
        <v>52</v>
      </c>
      <c r="T425" s="59">
        <v>0</v>
      </c>
      <c r="U425" s="59">
        <v>24</v>
      </c>
      <c r="V425" s="59"/>
      <c r="W425" s="59">
        <v>0</v>
      </c>
      <c r="X425" s="5">
        <v>0</v>
      </c>
      <c r="Y425" s="10"/>
      <c r="Z425" s="61">
        <v>616960</v>
      </c>
      <c r="AA425" s="59"/>
      <c r="AB425" s="59"/>
      <c r="AC425" s="61">
        <v>385854</v>
      </c>
      <c r="AD425" s="59"/>
      <c r="AE425" s="35">
        <f t="shared" si="189"/>
        <v>385854</v>
      </c>
      <c r="AF425" s="10"/>
      <c r="AG425" s="8">
        <v>55</v>
      </c>
      <c r="AH425" s="59">
        <v>1</v>
      </c>
      <c r="AI425" s="59">
        <v>80</v>
      </c>
      <c r="AJ425" s="5"/>
      <c r="AK425" s="10"/>
      <c r="AL425" s="8"/>
      <c r="AM425" s="10"/>
      <c r="AN425" s="35"/>
      <c r="AO425" s="279"/>
      <c r="AP425" s="279"/>
      <c r="AQ425" s="281"/>
      <c r="AR425" s="59">
        <v>162</v>
      </c>
      <c r="AS425" s="59"/>
      <c r="AT425" s="59"/>
      <c r="AU425" s="59"/>
      <c r="AV425" s="62"/>
      <c r="AW425" s="10"/>
      <c r="AX425" s="326"/>
      <c r="AY425" s="5"/>
      <c r="AZ425" s="10"/>
      <c r="BA425" s="8"/>
      <c r="BB425" s="10"/>
      <c r="BC425" s="10"/>
      <c r="BD425" s="10"/>
      <c r="BE425" s="10"/>
      <c r="BF425" s="10"/>
      <c r="BG425" s="10"/>
      <c r="BH425" s="30"/>
      <c r="BI425" s="10"/>
      <c r="BJ425" s="338"/>
      <c r="BK425" s="338"/>
      <c r="BL425" s="303"/>
      <c r="BM425" s="5"/>
      <c r="BN425" s="10"/>
      <c r="BO425" s="8"/>
      <c r="BP425" s="5"/>
      <c r="BQ425" s="10"/>
      <c r="BR425" s="29">
        <v>2002</v>
      </c>
      <c r="BS425" s="64">
        <v>2002</v>
      </c>
      <c r="BT425" s="14">
        <v>4</v>
      </c>
      <c r="BU425" s="10"/>
      <c r="BV425" s="8">
        <v>3</v>
      </c>
      <c r="BW425" s="59">
        <v>0</v>
      </c>
      <c r="BX425" s="59">
        <v>0</v>
      </c>
      <c r="BY425" s="59"/>
      <c r="BZ425" s="59"/>
      <c r="CA425" s="59"/>
      <c r="CB425" s="59"/>
      <c r="CC425" s="221"/>
      <c r="CD425" s="59">
        <v>2</v>
      </c>
      <c r="CE425" s="317">
        <v>0</v>
      </c>
      <c r="CF425" s="59">
        <v>0</v>
      </c>
      <c r="CG425" s="59">
        <v>2</v>
      </c>
      <c r="CH425" s="59"/>
      <c r="CI425" s="59">
        <v>1</v>
      </c>
      <c r="CJ425" s="59">
        <v>0</v>
      </c>
      <c r="CK425" s="59"/>
      <c r="CL425" s="59"/>
      <c r="CM425" s="59">
        <v>0</v>
      </c>
      <c r="CN425" s="59"/>
      <c r="CO425" s="59">
        <v>1</v>
      </c>
      <c r="CP425" s="317"/>
      <c r="CQ425" s="59"/>
      <c r="CR425" s="59"/>
      <c r="CS425" s="59">
        <v>0</v>
      </c>
      <c r="CT425" s="59">
        <v>5</v>
      </c>
      <c r="CU425" s="59">
        <v>0</v>
      </c>
      <c r="CV425" s="59">
        <v>3</v>
      </c>
      <c r="CW425" s="59"/>
      <c r="CX425" s="59"/>
      <c r="CY425" s="59">
        <v>0</v>
      </c>
      <c r="CZ425" s="59"/>
      <c r="DA425" s="59"/>
      <c r="DB425" s="59">
        <v>2</v>
      </c>
      <c r="DC425" s="59"/>
      <c r="DD425" s="59"/>
      <c r="DE425" s="59"/>
      <c r="DF425" s="59"/>
      <c r="DG425" s="59">
        <v>3</v>
      </c>
      <c r="DH425" s="59">
        <v>1</v>
      </c>
      <c r="DI425" s="59">
        <v>0</v>
      </c>
      <c r="DJ425" s="59">
        <v>0</v>
      </c>
      <c r="DK425" s="59"/>
      <c r="DL425" s="59"/>
      <c r="DM425" s="59">
        <v>0</v>
      </c>
      <c r="DN425" s="59"/>
      <c r="DO425" s="59">
        <v>20</v>
      </c>
      <c r="DP425" s="59"/>
      <c r="DQ425" s="59"/>
      <c r="DR425" s="59"/>
      <c r="DS425" s="59">
        <v>9</v>
      </c>
      <c r="DT425" s="59">
        <v>0</v>
      </c>
      <c r="DU425" s="59">
        <v>0</v>
      </c>
      <c r="DV425" s="38">
        <f t="shared" si="190"/>
        <v>52</v>
      </c>
      <c r="DW425" s="14" t="str">
        <f t="shared" si="191"/>
        <v/>
      </c>
      <c r="DX425" s="369"/>
      <c r="DY425" s="369">
        <f t="shared" si="193"/>
        <v>52</v>
      </c>
    </row>
    <row r="426" spans="1:129" customFormat="1">
      <c r="A426" s="210">
        <v>37316</v>
      </c>
      <c r="B426" s="211"/>
      <c r="C426" s="8">
        <v>2</v>
      </c>
      <c r="D426" s="59">
        <v>21</v>
      </c>
      <c r="E426" s="59">
        <v>0</v>
      </c>
      <c r="F426" s="59">
        <v>0</v>
      </c>
      <c r="G426" s="59">
        <v>0</v>
      </c>
      <c r="H426" s="59">
        <v>0</v>
      </c>
      <c r="I426" s="59">
        <v>0</v>
      </c>
      <c r="J426" s="59">
        <v>18</v>
      </c>
      <c r="K426" s="59">
        <v>0</v>
      </c>
      <c r="L426" s="59">
        <v>0</v>
      </c>
      <c r="M426" s="59">
        <v>0</v>
      </c>
      <c r="N426" s="59">
        <v>0</v>
      </c>
      <c r="O426" s="59">
        <v>3</v>
      </c>
      <c r="P426" s="59">
        <v>0</v>
      </c>
      <c r="Q426" s="59">
        <v>0</v>
      </c>
      <c r="R426" s="59">
        <v>0</v>
      </c>
      <c r="S426" s="35">
        <f t="shared" si="192"/>
        <v>44</v>
      </c>
      <c r="T426" s="59">
        <v>0</v>
      </c>
      <c r="U426" s="59">
        <v>9</v>
      </c>
      <c r="V426" s="59"/>
      <c r="W426" s="59">
        <v>0</v>
      </c>
      <c r="X426" s="5">
        <v>0</v>
      </c>
      <c r="Y426" s="10"/>
      <c r="Z426" s="61">
        <v>1731520</v>
      </c>
      <c r="AA426" s="59"/>
      <c r="AB426" s="59"/>
      <c r="AC426" s="61">
        <v>353064</v>
      </c>
      <c r="AD426" s="59"/>
      <c r="AE426" s="35">
        <f t="shared" si="189"/>
        <v>353064</v>
      </c>
      <c r="AF426" s="10"/>
      <c r="AG426" s="8">
        <v>67</v>
      </c>
      <c r="AH426" s="59">
        <v>21</v>
      </c>
      <c r="AI426" s="59">
        <v>100</v>
      </c>
      <c r="AJ426" s="5"/>
      <c r="AK426" s="10"/>
      <c r="AL426" s="8"/>
      <c r="AM426" s="10"/>
      <c r="AN426" s="35"/>
      <c r="AO426" s="279"/>
      <c r="AP426" s="279"/>
      <c r="AQ426" s="281"/>
      <c r="AR426" s="59">
        <v>162</v>
      </c>
      <c r="AS426" s="59"/>
      <c r="AT426" s="59"/>
      <c r="AU426" s="59"/>
      <c r="AV426" s="62"/>
      <c r="AW426" s="10"/>
      <c r="AX426" s="326"/>
      <c r="AY426" s="5"/>
      <c r="AZ426" s="10"/>
      <c r="BA426" s="8">
        <v>1714</v>
      </c>
      <c r="BB426" s="59">
        <v>33406661</v>
      </c>
      <c r="BC426" s="59"/>
      <c r="BD426" s="59"/>
      <c r="BE426" s="59">
        <v>68</v>
      </c>
      <c r="BF426" s="59">
        <v>1</v>
      </c>
      <c r="BG426" s="59">
        <v>0</v>
      </c>
      <c r="BH426" s="351"/>
      <c r="BI426" s="59">
        <v>1538823</v>
      </c>
      <c r="BJ426" s="342"/>
      <c r="BK426" s="342"/>
      <c r="BL426" s="307"/>
      <c r="BM426" s="5"/>
      <c r="BN426" s="10"/>
      <c r="BO426" s="8"/>
      <c r="BP426" s="5">
        <v>156</v>
      </c>
      <c r="BQ426" s="10"/>
      <c r="BR426" s="29">
        <v>2002</v>
      </c>
      <c r="BS426" s="64">
        <v>2002</v>
      </c>
      <c r="BT426" s="14">
        <v>5</v>
      </c>
      <c r="BU426" s="10"/>
      <c r="BV426" s="8">
        <v>0</v>
      </c>
      <c r="BW426" s="59">
        <v>8</v>
      </c>
      <c r="BX426" s="59">
        <v>9</v>
      </c>
      <c r="BY426" s="59"/>
      <c r="BZ426" s="59"/>
      <c r="CA426" s="59"/>
      <c r="CB426" s="59"/>
      <c r="CC426" s="221"/>
      <c r="CD426" s="59">
        <v>5</v>
      </c>
      <c r="CE426" s="317">
        <v>0</v>
      </c>
      <c r="CF426" s="59">
        <v>0</v>
      </c>
      <c r="CG426" s="59">
        <v>0</v>
      </c>
      <c r="CH426" s="59"/>
      <c r="CI426" s="59">
        <v>1</v>
      </c>
      <c r="CJ426" s="59">
        <v>3</v>
      </c>
      <c r="CK426" s="59"/>
      <c r="CL426" s="59"/>
      <c r="CM426" s="59">
        <v>0</v>
      </c>
      <c r="CN426" s="59"/>
      <c r="CO426" s="59">
        <v>3</v>
      </c>
      <c r="CP426" s="317"/>
      <c r="CQ426" s="59"/>
      <c r="CR426" s="59"/>
      <c r="CS426" s="59">
        <v>0</v>
      </c>
      <c r="CT426" s="59">
        <v>8</v>
      </c>
      <c r="CU426" s="59">
        <v>0</v>
      </c>
      <c r="CV426" s="59">
        <v>4</v>
      </c>
      <c r="CW426" s="59"/>
      <c r="CX426" s="59"/>
      <c r="CY426" s="59">
        <v>0</v>
      </c>
      <c r="CZ426" s="59"/>
      <c r="DA426" s="59"/>
      <c r="DB426" s="59">
        <v>0</v>
      </c>
      <c r="DC426" s="59"/>
      <c r="DD426" s="59"/>
      <c r="DE426" s="59"/>
      <c r="DF426" s="59"/>
      <c r="DG426" s="59">
        <v>0</v>
      </c>
      <c r="DH426" s="59">
        <v>0</v>
      </c>
      <c r="DI426" s="59">
        <v>0</v>
      </c>
      <c r="DJ426" s="59">
        <v>0</v>
      </c>
      <c r="DK426" s="59"/>
      <c r="DL426" s="59"/>
      <c r="DM426" s="59">
        <v>0</v>
      </c>
      <c r="DN426" s="59"/>
      <c r="DO426" s="59">
        <v>1</v>
      </c>
      <c r="DP426" s="59"/>
      <c r="DQ426" s="59"/>
      <c r="DR426" s="59"/>
      <c r="DS426" s="59">
        <v>2</v>
      </c>
      <c r="DT426" s="59">
        <v>0</v>
      </c>
      <c r="DU426" s="59">
        <v>0</v>
      </c>
      <c r="DV426" s="38">
        <f t="shared" si="190"/>
        <v>44</v>
      </c>
      <c r="DW426" s="14" t="str">
        <f t="shared" si="191"/>
        <v/>
      </c>
      <c r="DX426" s="369"/>
      <c r="DY426" s="369">
        <f t="shared" si="193"/>
        <v>44</v>
      </c>
    </row>
    <row r="427" spans="1:129" customFormat="1">
      <c r="A427" s="210">
        <v>37330</v>
      </c>
      <c r="B427" s="211"/>
      <c r="C427" s="8">
        <v>1</v>
      </c>
      <c r="D427" s="59">
        <v>15</v>
      </c>
      <c r="E427" s="59">
        <v>0</v>
      </c>
      <c r="F427" s="59">
        <v>0</v>
      </c>
      <c r="G427" s="59">
        <v>2</v>
      </c>
      <c r="H427" s="59">
        <v>0</v>
      </c>
      <c r="I427" s="59">
        <v>0</v>
      </c>
      <c r="J427" s="59">
        <v>20</v>
      </c>
      <c r="K427" s="59">
        <v>0</v>
      </c>
      <c r="L427" s="59">
        <v>0</v>
      </c>
      <c r="M427" s="59">
        <v>0</v>
      </c>
      <c r="N427" s="59">
        <v>0</v>
      </c>
      <c r="O427" s="59">
        <v>4</v>
      </c>
      <c r="P427" s="59">
        <v>1</v>
      </c>
      <c r="Q427" s="59">
        <v>0</v>
      </c>
      <c r="R427" s="59">
        <v>0</v>
      </c>
      <c r="S427" s="35">
        <f t="shared" si="192"/>
        <v>43</v>
      </c>
      <c r="T427" s="59">
        <v>0</v>
      </c>
      <c r="U427" s="59">
        <v>9</v>
      </c>
      <c r="V427" s="59"/>
      <c r="W427" s="59">
        <v>0</v>
      </c>
      <c r="X427" s="5">
        <v>0</v>
      </c>
      <c r="Y427" s="10"/>
      <c r="Z427" s="61">
        <v>1122304</v>
      </c>
      <c r="AA427" s="59"/>
      <c r="AB427" s="59"/>
      <c r="AC427" s="61">
        <v>516745</v>
      </c>
      <c r="AD427" s="59"/>
      <c r="AE427" s="35">
        <f t="shared" si="189"/>
        <v>516745</v>
      </c>
      <c r="AF427" s="10"/>
      <c r="AG427" s="8">
        <v>81</v>
      </c>
      <c r="AH427" s="59">
        <v>13</v>
      </c>
      <c r="AI427" s="59">
        <v>110</v>
      </c>
      <c r="AJ427" s="5"/>
      <c r="AK427" s="10"/>
      <c r="AL427" s="8"/>
      <c r="AM427" s="10"/>
      <c r="AN427" s="35"/>
      <c r="AO427" s="279"/>
      <c r="AP427" s="279"/>
      <c r="AQ427" s="281"/>
      <c r="AR427" s="59">
        <v>162</v>
      </c>
      <c r="AS427" s="59"/>
      <c r="AT427" s="59"/>
      <c r="AU427" s="59"/>
      <c r="AV427" s="62"/>
      <c r="AW427" s="10"/>
      <c r="AX427" s="326"/>
      <c r="AY427" s="5"/>
      <c r="AZ427" s="10"/>
      <c r="BA427" s="8"/>
      <c r="BB427" s="59"/>
      <c r="BC427" s="59"/>
      <c r="BD427" s="59"/>
      <c r="BE427" s="59"/>
      <c r="BF427" s="59"/>
      <c r="BG427" s="59"/>
      <c r="BH427" s="351"/>
      <c r="BI427" s="59"/>
      <c r="BJ427" s="342"/>
      <c r="BK427" s="342"/>
      <c r="BL427" s="307"/>
      <c r="BM427" s="5"/>
      <c r="BN427" s="10"/>
      <c r="BO427" s="8"/>
      <c r="BP427" s="5"/>
      <c r="BQ427" s="10"/>
      <c r="BR427" s="29">
        <v>2002</v>
      </c>
      <c r="BS427" s="64">
        <v>2002</v>
      </c>
      <c r="BT427" s="14">
        <v>6</v>
      </c>
      <c r="BU427" s="10"/>
      <c r="BV427" s="8">
        <v>0</v>
      </c>
      <c r="BW427" s="59">
        <v>1</v>
      </c>
      <c r="BX427" s="59">
        <v>0</v>
      </c>
      <c r="BY427" s="59"/>
      <c r="BZ427" s="59"/>
      <c r="CA427" s="59"/>
      <c r="CB427" s="59"/>
      <c r="CC427" s="221"/>
      <c r="CD427" s="59">
        <v>2</v>
      </c>
      <c r="CE427" s="317">
        <v>0</v>
      </c>
      <c r="CF427" s="59">
        <v>0</v>
      </c>
      <c r="CG427" s="59">
        <v>0</v>
      </c>
      <c r="CH427" s="59"/>
      <c r="CI427" s="59">
        <v>5</v>
      </c>
      <c r="CJ427" s="59">
        <v>0</v>
      </c>
      <c r="CK427" s="59"/>
      <c r="CL427" s="59"/>
      <c r="CM427" s="59">
        <v>0</v>
      </c>
      <c r="CN427" s="59"/>
      <c r="CO427" s="59">
        <v>0</v>
      </c>
      <c r="CP427" s="317"/>
      <c r="CQ427" s="59"/>
      <c r="CR427" s="59"/>
      <c r="CS427" s="59">
        <v>0</v>
      </c>
      <c r="CT427" s="59">
        <v>4</v>
      </c>
      <c r="CU427" s="59">
        <v>0</v>
      </c>
      <c r="CV427" s="59">
        <v>14</v>
      </c>
      <c r="CW427" s="59"/>
      <c r="CX427" s="59"/>
      <c r="CY427" s="59">
        <v>1</v>
      </c>
      <c r="CZ427" s="59"/>
      <c r="DA427" s="59"/>
      <c r="DB427" s="59">
        <v>5</v>
      </c>
      <c r="DC427" s="59"/>
      <c r="DD427" s="59"/>
      <c r="DE427" s="59"/>
      <c r="DF427" s="59"/>
      <c r="DG427" s="59">
        <v>0</v>
      </c>
      <c r="DH427" s="59">
        <v>0</v>
      </c>
      <c r="DI427" s="59">
        <v>6</v>
      </c>
      <c r="DJ427" s="59">
        <v>0</v>
      </c>
      <c r="DK427" s="59"/>
      <c r="DL427" s="59"/>
      <c r="DM427" s="59">
        <v>4</v>
      </c>
      <c r="DN427" s="59"/>
      <c r="DO427" s="59">
        <v>0</v>
      </c>
      <c r="DP427" s="59"/>
      <c r="DQ427" s="59"/>
      <c r="DR427" s="59"/>
      <c r="DS427" s="59">
        <v>0</v>
      </c>
      <c r="DT427" s="59">
        <v>1</v>
      </c>
      <c r="DU427" s="59">
        <v>0</v>
      </c>
      <c r="DV427" s="38">
        <f t="shared" si="190"/>
        <v>43</v>
      </c>
      <c r="DW427" s="14" t="str">
        <f t="shared" si="191"/>
        <v/>
      </c>
      <c r="DX427" s="369"/>
      <c r="DY427" s="369">
        <f t="shared" si="193"/>
        <v>43</v>
      </c>
    </row>
    <row r="428" spans="1:129" customFormat="1">
      <c r="A428" s="210">
        <v>37347</v>
      </c>
      <c r="B428" s="211"/>
      <c r="C428" s="8">
        <v>1</v>
      </c>
      <c r="D428" s="59">
        <v>10</v>
      </c>
      <c r="E428" s="59">
        <v>1</v>
      </c>
      <c r="F428" s="59">
        <v>0</v>
      </c>
      <c r="G428" s="59">
        <v>1</v>
      </c>
      <c r="H428" s="59">
        <v>1</v>
      </c>
      <c r="I428" s="59">
        <v>0</v>
      </c>
      <c r="J428" s="59">
        <v>35</v>
      </c>
      <c r="K428" s="59">
        <v>7</v>
      </c>
      <c r="L428" s="59">
        <v>0</v>
      </c>
      <c r="M428" s="59">
        <v>0</v>
      </c>
      <c r="N428" s="59">
        <v>0</v>
      </c>
      <c r="O428" s="59">
        <v>2</v>
      </c>
      <c r="P428" s="59">
        <v>2</v>
      </c>
      <c r="Q428" s="59">
        <v>0</v>
      </c>
      <c r="R428" s="59">
        <v>1</v>
      </c>
      <c r="S428" s="35">
        <f t="shared" si="192"/>
        <v>61</v>
      </c>
      <c r="T428" s="59">
        <v>0</v>
      </c>
      <c r="U428" s="59">
        <v>12</v>
      </c>
      <c r="V428" s="59"/>
      <c r="W428" s="59">
        <v>0</v>
      </c>
      <c r="X428" s="5">
        <v>0</v>
      </c>
      <c r="Y428" s="10"/>
      <c r="Z428" s="61">
        <v>1001984</v>
      </c>
      <c r="AA428" s="59"/>
      <c r="AB428" s="59"/>
      <c r="AC428" s="61">
        <v>428936</v>
      </c>
      <c r="AD428" s="59"/>
      <c r="AE428" s="35">
        <f t="shared" si="189"/>
        <v>428936</v>
      </c>
      <c r="AF428" s="10"/>
      <c r="AG428" s="8">
        <v>49</v>
      </c>
      <c r="AH428" s="59">
        <v>19</v>
      </c>
      <c r="AI428" s="59">
        <v>82</v>
      </c>
      <c r="AJ428" s="5"/>
      <c r="AK428" s="10"/>
      <c r="AL428" s="8">
        <v>34</v>
      </c>
      <c r="AM428" s="59">
        <v>63</v>
      </c>
      <c r="AN428" s="35">
        <f>SUM(AL428:AM428)</f>
        <v>97</v>
      </c>
      <c r="AO428" s="279"/>
      <c r="AP428" s="279"/>
      <c r="AQ428" s="281"/>
      <c r="AR428" s="59">
        <v>162</v>
      </c>
      <c r="AS428" s="59"/>
      <c r="AT428" s="59"/>
      <c r="AU428" s="59"/>
      <c r="AV428" s="62"/>
      <c r="AW428" s="10"/>
      <c r="AX428" s="326"/>
      <c r="AY428" s="5"/>
      <c r="AZ428" s="10"/>
      <c r="BA428" s="8">
        <v>1714</v>
      </c>
      <c r="BB428" s="59">
        <v>33011645</v>
      </c>
      <c r="BC428" s="59"/>
      <c r="BD428" s="59"/>
      <c r="BE428" s="59">
        <v>104</v>
      </c>
      <c r="BF428" s="59">
        <v>1</v>
      </c>
      <c r="BG428" s="59">
        <v>1</v>
      </c>
      <c r="BH428" s="351"/>
      <c r="BI428" s="59">
        <v>2807001</v>
      </c>
      <c r="BJ428" s="342">
        <v>37356</v>
      </c>
      <c r="BK428" s="342">
        <v>37435</v>
      </c>
      <c r="BL428" s="320">
        <f>BK428-BJ428</f>
        <v>79</v>
      </c>
      <c r="BM428" s="5"/>
      <c r="BN428" s="10"/>
      <c r="BO428" s="8"/>
      <c r="BP428" s="5">
        <v>156</v>
      </c>
      <c r="BQ428" s="10"/>
      <c r="BR428" s="29">
        <v>2002</v>
      </c>
      <c r="BS428" s="64">
        <v>2002</v>
      </c>
      <c r="BT428" s="14">
        <v>7</v>
      </c>
      <c r="BU428" s="10"/>
      <c r="BV428" s="8">
        <v>6</v>
      </c>
      <c r="BW428" s="59">
        <v>1</v>
      </c>
      <c r="BX428" s="59">
        <v>0</v>
      </c>
      <c r="BY428" s="59"/>
      <c r="BZ428" s="59"/>
      <c r="CA428" s="59"/>
      <c r="CB428" s="59"/>
      <c r="CC428" s="221"/>
      <c r="CD428" s="59">
        <v>0</v>
      </c>
      <c r="CE428" s="317">
        <v>0</v>
      </c>
      <c r="CF428" s="59">
        <v>7</v>
      </c>
      <c r="CG428" s="59">
        <v>6</v>
      </c>
      <c r="CH428" s="59"/>
      <c r="CI428" s="59">
        <v>0</v>
      </c>
      <c r="CJ428" s="59">
        <v>18</v>
      </c>
      <c r="CK428" s="59"/>
      <c r="CL428" s="59"/>
      <c r="CM428" s="59">
        <v>0</v>
      </c>
      <c r="CN428" s="59"/>
      <c r="CO428" s="59">
        <v>5</v>
      </c>
      <c r="CP428" s="317"/>
      <c r="CQ428" s="59"/>
      <c r="CR428" s="59"/>
      <c r="CS428" s="59">
        <v>0</v>
      </c>
      <c r="CT428" s="59">
        <v>1</v>
      </c>
      <c r="CU428" s="59">
        <v>0</v>
      </c>
      <c r="CV428" s="59">
        <v>5</v>
      </c>
      <c r="CW428" s="59"/>
      <c r="CX428" s="59"/>
      <c r="CY428" s="59">
        <v>0</v>
      </c>
      <c r="CZ428" s="59"/>
      <c r="DA428" s="59"/>
      <c r="DB428" s="59">
        <v>0</v>
      </c>
      <c r="DC428" s="59"/>
      <c r="DD428" s="59"/>
      <c r="DE428" s="59"/>
      <c r="DF428" s="59"/>
      <c r="DG428" s="59">
        <v>0</v>
      </c>
      <c r="DH428" s="59">
        <v>1</v>
      </c>
      <c r="DI428" s="59">
        <v>4</v>
      </c>
      <c r="DJ428" s="59">
        <v>0</v>
      </c>
      <c r="DK428" s="59"/>
      <c r="DL428" s="59"/>
      <c r="DM428" s="59">
        <v>2</v>
      </c>
      <c r="DN428" s="59"/>
      <c r="DO428" s="59">
        <v>3</v>
      </c>
      <c r="DP428" s="59"/>
      <c r="DQ428" s="59"/>
      <c r="DR428" s="59"/>
      <c r="DS428" s="59">
        <v>0</v>
      </c>
      <c r="DT428" s="59">
        <v>1</v>
      </c>
      <c r="DU428" s="59">
        <v>1</v>
      </c>
      <c r="DV428" s="38">
        <f t="shared" si="190"/>
        <v>61</v>
      </c>
      <c r="DW428" s="14" t="str">
        <f t="shared" si="191"/>
        <v/>
      </c>
      <c r="DX428" s="369"/>
      <c r="DY428" s="369">
        <f t="shared" si="193"/>
        <v>61</v>
      </c>
    </row>
    <row r="429" spans="1:129" customFormat="1">
      <c r="A429" s="210">
        <v>37361</v>
      </c>
      <c r="B429" s="211"/>
      <c r="C429" s="8">
        <v>1</v>
      </c>
      <c r="D429" s="59">
        <v>21</v>
      </c>
      <c r="E429" s="59">
        <v>0</v>
      </c>
      <c r="F429" s="59">
        <v>2</v>
      </c>
      <c r="G429" s="59">
        <v>0</v>
      </c>
      <c r="H429" s="59">
        <v>0</v>
      </c>
      <c r="I429" s="59">
        <v>0</v>
      </c>
      <c r="J429" s="59">
        <v>41</v>
      </c>
      <c r="K429" s="59">
        <v>0</v>
      </c>
      <c r="L429" s="59">
        <v>0</v>
      </c>
      <c r="M429" s="59">
        <v>0</v>
      </c>
      <c r="N429" s="59">
        <v>0</v>
      </c>
      <c r="O429" s="59">
        <v>3</v>
      </c>
      <c r="P429" s="59">
        <v>0</v>
      </c>
      <c r="Q429" s="59">
        <v>0</v>
      </c>
      <c r="R429" s="59">
        <v>1</v>
      </c>
      <c r="S429" s="35">
        <f t="shared" si="192"/>
        <v>69</v>
      </c>
      <c r="T429" s="59">
        <v>0</v>
      </c>
      <c r="U429" s="59">
        <v>11</v>
      </c>
      <c r="V429" s="59"/>
      <c r="W429" s="59">
        <v>0</v>
      </c>
      <c r="X429" s="5">
        <v>0</v>
      </c>
      <c r="Y429" s="10"/>
      <c r="Z429" s="61">
        <v>1409536</v>
      </c>
      <c r="AA429" s="59"/>
      <c r="AB429" s="59"/>
      <c r="AC429" s="61">
        <v>996802</v>
      </c>
      <c r="AD429" s="59"/>
      <c r="AE429" s="35">
        <f t="shared" si="189"/>
        <v>996802</v>
      </c>
      <c r="AF429" s="10"/>
      <c r="AG429" s="8">
        <v>148</v>
      </c>
      <c r="AH429" s="59">
        <v>1</v>
      </c>
      <c r="AI429" s="59">
        <v>162</v>
      </c>
      <c r="AJ429" s="5"/>
      <c r="AK429" s="10"/>
      <c r="AL429" s="8"/>
      <c r="AM429" s="10"/>
      <c r="AN429" s="35"/>
      <c r="AO429" s="279"/>
      <c r="AP429" s="279"/>
      <c r="AQ429" s="281"/>
      <c r="AR429" s="59">
        <v>161</v>
      </c>
      <c r="AS429" s="59"/>
      <c r="AT429" s="59"/>
      <c r="AU429" s="59"/>
      <c r="AV429" s="62"/>
      <c r="AW429" s="10"/>
      <c r="AX429" s="326"/>
      <c r="AY429" s="5"/>
      <c r="AZ429" s="10"/>
      <c r="BA429" s="8"/>
      <c r="BB429" s="59"/>
      <c r="BC429" s="59"/>
      <c r="BD429" s="59"/>
      <c r="BE429" s="59"/>
      <c r="BF429" s="59"/>
      <c r="BG429" s="59"/>
      <c r="BH429" s="351"/>
      <c r="BI429" s="59"/>
      <c r="BJ429" s="342"/>
      <c r="BK429" s="342"/>
      <c r="BL429" s="320"/>
      <c r="BM429" s="5"/>
      <c r="BN429" s="10"/>
      <c r="BO429" s="8"/>
      <c r="BP429" s="5"/>
      <c r="BQ429" s="10"/>
      <c r="BR429" s="29">
        <v>2002</v>
      </c>
      <c r="BS429" s="64">
        <v>2002</v>
      </c>
      <c r="BT429" s="14">
        <v>8</v>
      </c>
      <c r="BU429" s="10"/>
      <c r="BV429" s="8">
        <v>0</v>
      </c>
      <c r="BW429" s="59">
        <v>2</v>
      </c>
      <c r="BX429" s="59">
        <v>0</v>
      </c>
      <c r="BY429" s="59"/>
      <c r="BZ429" s="59"/>
      <c r="CA429" s="59"/>
      <c r="CB429" s="59"/>
      <c r="CC429" s="221"/>
      <c r="CD429" s="59">
        <v>8</v>
      </c>
      <c r="CE429" s="317">
        <v>0</v>
      </c>
      <c r="CF429" s="59">
        <v>1</v>
      </c>
      <c r="CG429" s="59">
        <v>0</v>
      </c>
      <c r="CH429" s="59"/>
      <c r="CI429" s="59">
        <v>5</v>
      </c>
      <c r="CJ429" s="59">
        <v>11</v>
      </c>
      <c r="CK429" s="59"/>
      <c r="CL429" s="59"/>
      <c r="CM429" s="59">
        <v>0</v>
      </c>
      <c r="CN429" s="59"/>
      <c r="CO429" s="59">
        <v>2</v>
      </c>
      <c r="CP429" s="317"/>
      <c r="CQ429" s="59"/>
      <c r="CR429" s="59"/>
      <c r="CS429" s="59">
        <v>0</v>
      </c>
      <c r="CT429" s="59">
        <v>1</v>
      </c>
      <c r="CU429" s="59">
        <v>0</v>
      </c>
      <c r="CV429" s="59">
        <v>0</v>
      </c>
      <c r="CW429" s="59"/>
      <c r="CX429" s="59"/>
      <c r="CY429" s="59">
        <v>0</v>
      </c>
      <c r="CZ429" s="59"/>
      <c r="DA429" s="59"/>
      <c r="DB429" s="59">
        <v>27</v>
      </c>
      <c r="DC429" s="59"/>
      <c r="DD429" s="59"/>
      <c r="DE429" s="59"/>
      <c r="DF429" s="59"/>
      <c r="DG429" s="59">
        <v>2</v>
      </c>
      <c r="DH429" s="59">
        <v>2</v>
      </c>
      <c r="DI429" s="59">
        <v>0</v>
      </c>
      <c r="DJ429" s="59">
        <v>0</v>
      </c>
      <c r="DK429" s="59"/>
      <c r="DL429" s="59"/>
      <c r="DM429" s="59">
        <v>5</v>
      </c>
      <c r="DN429" s="59"/>
      <c r="DO429" s="59">
        <v>2</v>
      </c>
      <c r="DP429" s="59"/>
      <c r="DQ429" s="59"/>
      <c r="DR429" s="59"/>
      <c r="DS429" s="59">
        <v>0</v>
      </c>
      <c r="DT429" s="59">
        <v>0</v>
      </c>
      <c r="DU429" s="59">
        <v>1</v>
      </c>
      <c r="DV429" s="38">
        <f t="shared" si="190"/>
        <v>69</v>
      </c>
      <c r="DW429" s="14" t="str">
        <f t="shared" si="191"/>
        <v/>
      </c>
      <c r="DX429" s="369"/>
      <c r="DY429" s="369">
        <f t="shared" si="193"/>
        <v>69</v>
      </c>
    </row>
    <row r="430" spans="1:129" customFormat="1">
      <c r="A430" s="210">
        <v>37377</v>
      </c>
      <c r="B430" s="211"/>
      <c r="C430" s="8">
        <v>1</v>
      </c>
      <c r="D430" s="59">
        <v>14</v>
      </c>
      <c r="E430" s="59">
        <v>0</v>
      </c>
      <c r="F430" s="59">
        <v>2</v>
      </c>
      <c r="G430" s="59">
        <v>0</v>
      </c>
      <c r="H430" s="59">
        <v>0</v>
      </c>
      <c r="I430" s="59">
        <v>0</v>
      </c>
      <c r="J430" s="59">
        <v>39</v>
      </c>
      <c r="K430" s="59">
        <v>2</v>
      </c>
      <c r="L430" s="59">
        <v>0</v>
      </c>
      <c r="M430" s="59">
        <v>0</v>
      </c>
      <c r="N430" s="59">
        <v>0</v>
      </c>
      <c r="O430" s="59">
        <v>3</v>
      </c>
      <c r="P430" s="59">
        <v>1</v>
      </c>
      <c r="Q430" s="59">
        <v>0</v>
      </c>
      <c r="R430" s="59">
        <v>0</v>
      </c>
      <c r="S430" s="35">
        <f t="shared" si="192"/>
        <v>62</v>
      </c>
      <c r="T430" s="59">
        <v>0</v>
      </c>
      <c r="U430" s="59">
        <v>12</v>
      </c>
      <c r="V430" s="59"/>
      <c r="W430" s="59">
        <v>0</v>
      </c>
      <c r="X430" s="5">
        <v>0</v>
      </c>
      <c r="Y430" s="10"/>
      <c r="Z430" s="61">
        <v>858944</v>
      </c>
      <c r="AA430" s="59"/>
      <c r="AB430" s="59"/>
      <c r="AC430" s="61">
        <v>460619</v>
      </c>
      <c r="AD430" s="59"/>
      <c r="AE430" s="35">
        <f t="shared" si="189"/>
        <v>460619</v>
      </c>
      <c r="AF430" s="10"/>
      <c r="AG430" s="8">
        <v>86</v>
      </c>
      <c r="AH430" s="59">
        <v>1</v>
      </c>
      <c r="AI430" s="59">
        <v>104</v>
      </c>
      <c r="AJ430" s="5"/>
      <c r="AK430" s="10"/>
      <c r="AL430" s="8"/>
      <c r="AM430" s="10"/>
      <c r="AN430" s="35"/>
      <c r="AO430" s="279"/>
      <c r="AP430" s="279"/>
      <c r="AQ430" s="281"/>
      <c r="AR430" s="59">
        <v>160</v>
      </c>
      <c r="AS430" s="59">
        <v>38</v>
      </c>
      <c r="AT430" s="59">
        <v>122</v>
      </c>
      <c r="AU430" s="59">
        <v>25</v>
      </c>
      <c r="AV430" s="62">
        <v>195</v>
      </c>
      <c r="AW430" s="10"/>
      <c r="AX430" s="326"/>
      <c r="AY430" s="5"/>
      <c r="AZ430" s="10"/>
      <c r="BA430" s="61">
        <v>1721</v>
      </c>
      <c r="BB430" s="59">
        <v>32764333</v>
      </c>
      <c r="BC430" s="59"/>
      <c r="BD430" s="59"/>
      <c r="BE430" s="59">
        <v>110</v>
      </c>
      <c r="BF430" s="59">
        <v>7</v>
      </c>
      <c r="BG430" s="59">
        <v>0</v>
      </c>
      <c r="BH430" s="351"/>
      <c r="BI430" s="59">
        <v>3058475</v>
      </c>
      <c r="BJ430" s="342">
        <v>37386</v>
      </c>
      <c r="BK430" s="342">
        <v>37470</v>
      </c>
      <c r="BL430" s="320">
        <f>BK430-BJ430</f>
        <v>84</v>
      </c>
      <c r="BM430" s="5"/>
      <c r="BN430" s="10"/>
      <c r="BO430" s="8"/>
      <c r="BP430" s="5">
        <v>156</v>
      </c>
      <c r="BQ430" s="10"/>
      <c r="BR430" s="29">
        <v>2002</v>
      </c>
      <c r="BS430" s="64">
        <v>2002</v>
      </c>
      <c r="BT430" s="14">
        <v>9</v>
      </c>
      <c r="BU430" s="10"/>
      <c r="BV430" s="8">
        <v>1</v>
      </c>
      <c r="BW430" s="59">
        <v>1</v>
      </c>
      <c r="BX430" s="59">
        <v>0</v>
      </c>
      <c r="BY430" s="59"/>
      <c r="BZ430" s="59"/>
      <c r="CA430" s="59"/>
      <c r="CB430" s="59"/>
      <c r="CC430" s="221"/>
      <c r="CD430" s="59">
        <v>8</v>
      </c>
      <c r="CE430" s="317">
        <v>0</v>
      </c>
      <c r="CF430" s="59">
        <v>0</v>
      </c>
      <c r="CG430" s="59">
        <v>3</v>
      </c>
      <c r="CH430" s="59"/>
      <c r="CI430" s="59">
        <v>5</v>
      </c>
      <c r="CJ430" s="59">
        <v>13</v>
      </c>
      <c r="CK430" s="59"/>
      <c r="CL430" s="59"/>
      <c r="CM430" s="59">
        <v>0</v>
      </c>
      <c r="CN430" s="59"/>
      <c r="CO430" s="59">
        <v>2</v>
      </c>
      <c r="CP430" s="317"/>
      <c r="CQ430" s="59"/>
      <c r="CR430" s="59"/>
      <c r="CS430" s="59">
        <v>0</v>
      </c>
      <c r="CT430" s="59">
        <v>2</v>
      </c>
      <c r="CU430" s="59">
        <v>0</v>
      </c>
      <c r="CV430" s="59">
        <v>1</v>
      </c>
      <c r="CW430" s="59"/>
      <c r="CX430" s="59"/>
      <c r="CY430" s="59">
        <v>0</v>
      </c>
      <c r="CZ430" s="59"/>
      <c r="DA430" s="59"/>
      <c r="DB430" s="59">
        <v>16</v>
      </c>
      <c r="DC430" s="59"/>
      <c r="DD430" s="59"/>
      <c r="DE430" s="59"/>
      <c r="DF430" s="59"/>
      <c r="DG430" s="59">
        <v>0</v>
      </c>
      <c r="DH430" s="59">
        <v>1</v>
      </c>
      <c r="DI430" s="59">
        <v>0</v>
      </c>
      <c r="DJ430" s="59">
        <v>0</v>
      </c>
      <c r="DK430" s="59"/>
      <c r="DL430" s="59"/>
      <c r="DM430" s="59">
        <v>7</v>
      </c>
      <c r="DN430" s="59"/>
      <c r="DO430" s="59">
        <v>1</v>
      </c>
      <c r="DP430" s="59"/>
      <c r="DQ430" s="59"/>
      <c r="DR430" s="59"/>
      <c r="DS430" s="59">
        <v>0</v>
      </c>
      <c r="DT430" s="59">
        <v>1</v>
      </c>
      <c r="DU430" s="59">
        <v>0</v>
      </c>
      <c r="DV430" s="38">
        <f t="shared" si="190"/>
        <v>62</v>
      </c>
      <c r="DW430" s="14" t="str">
        <f t="shared" si="191"/>
        <v/>
      </c>
      <c r="DX430" s="369"/>
      <c r="DY430" s="369">
        <f t="shared" si="193"/>
        <v>62</v>
      </c>
    </row>
    <row r="431" spans="1:129" customFormat="1">
      <c r="A431" s="210">
        <v>37391</v>
      </c>
      <c r="B431" s="211"/>
      <c r="C431" s="8">
        <v>9</v>
      </c>
      <c r="D431" s="59">
        <v>19</v>
      </c>
      <c r="E431" s="59">
        <v>0</v>
      </c>
      <c r="F431" s="59">
        <v>0</v>
      </c>
      <c r="G431" s="59">
        <v>1</v>
      </c>
      <c r="H431" s="59">
        <v>0</v>
      </c>
      <c r="I431" s="59">
        <v>0</v>
      </c>
      <c r="J431" s="59">
        <v>34</v>
      </c>
      <c r="K431" s="59">
        <v>0</v>
      </c>
      <c r="L431" s="59">
        <v>0</v>
      </c>
      <c r="M431" s="59">
        <v>1</v>
      </c>
      <c r="N431" s="59">
        <v>0</v>
      </c>
      <c r="O431" s="59">
        <v>15</v>
      </c>
      <c r="P431" s="59">
        <v>0</v>
      </c>
      <c r="Q431" s="59">
        <v>0</v>
      </c>
      <c r="R431" s="59">
        <v>0</v>
      </c>
      <c r="S431" s="35">
        <f t="shared" si="192"/>
        <v>79</v>
      </c>
      <c r="T431" s="59">
        <v>0</v>
      </c>
      <c r="U431" s="59">
        <v>20</v>
      </c>
      <c r="V431" s="59"/>
      <c r="W431" s="59">
        <v>0</v>
      </c>
      <c r="X431" s="5">
        <v>1</v>
      </c>
      <c r="Y431" s="10"/>
      <c r="Z431" s="61">
        <v>848384</v>
      </c>
      <c r="AA431" s="59"/>
      <c r="AB431" s="59"/>
      <c r="AC431" s="61">
        <v>813791</v>
      </c>
      <c r="AD431" s="59"/>
      <c r="AE431" s="35">
        <f t="shared" si="189"/>
        <v>813791</v>
      </c>
      <c r="AF431" s="10"/>
      <c r="AG431" s="8">
        <v>80</v>
      </c>
      <c r="AH431" s="59">
        <v>1</v>
      </c>
      <c r="AI431" s="59">
        <v>102</v>
      </c>
      <c r="AJ431" s="5"/>
      <c r="AK431" s="10"/>
      <c r="AL431" s="8"/>
      <c r="AM431" s="10"/>
      <c r="AN431" s="35"/>
      <c r="AO431" s="279"/>
      <c r="AP431" s="279"/>
      <c r="AQ431" s="281"/>
      <c r="AR431" s="59">
        <v>160</v>
      </c>
      <c r="AS431" s="59"/>
      <c r="AT431" s="59"/>
      <c r="AU431" s="59"/>
      <c r="AV431" s="62"/>
      <c r="AW431" s="10"/>
      <c r="AX431" s="326"/>
      <c r="AY431" s="5"/>
      <c r="AZ431" s="10"/>
      <c r="BA431" s="8"/>
      <c r="BB431" s="59"/>
      <c r="BC431" s="59"/>
      <c r="BD431" s="59"/>
      <c r="BE431" s="59"/>
      <c r="BF431" s="59"/>
      <c r="BG431" s="59"/>
      <c r="BH431" s="351"/>
      <c r="BI431" s="59"/>
      <c r="BJ431" s="342"/>
      <c r="BK431" s="342"/>
      <c r="BL431" s="320"/>
      <c r="BM431" s="5"/>
      <c r="BN431" s="10"/>
      <c r="BO431" s="8"/>
      <c r="BP431" s="5"/>
      <c r="BQ431" s="10"/>
      <c r="BR431" s="29">
        <v>2002</v>
      </c>
      <c r="BS431" s="64">
        <v>2002</v>
      </c>
      <c r="BT431" s="14">
        <v>10</v>
      </c>
      <c r="BU431" s="10"/>
      <c r="BV431" s="8">
        <v>1</v>
      </c>
      <c r="BW431" s="59">
        <v>0</v>
      </c>
      <c r="BX431" s="59">
        <v>3</v>
      </c>
      <c r="BY431" s="59"/>
      <c r="BZ431" s="59"/>
      <c r="CA431" s="59"/>
      <c r="CB431" s="59"/>
      <c r="CC431" s="221"/>
      <c r="CD431" s="59">
        <v>1</v>
      </c>
      <c r="CE431" s="317">
        <v>0</v>
      </c>
      <c r="CF431" s="59">
        <v>1</v>
      </c>
      <c r="CG431" s="59">
        <v>0</v>
      </c>
      <c r="CH431" s="59"/>
      <c r="CI431" s="59">
        <v>0</v>
      </c>
      <c r="CJ431" s="59">
        <v>9</v>
      </c>
      <c r="CK431" s="59"/>
      <c r="CL431" s="59"/>
      <c r="CM431" s="59">
        <v>1</v>
      </c>
      <c r="CN431" s="59"/>
      <c r="CO431" s="59">
        <v>18</v>
      </c>
      <c r="CP431" s="317"/>
      <c r="CQ431" s="59"/>
      <c r="CR431" s="59"/>
      <c r="CS431" s="59">
        <v>0</v>
      </c>
      <c r="CT431" s="59">
        <v>2</v>
      </c>
      <c r="CU431" s="59">
        <v>0</v>
      </c>
      <c r="CV431" s="59">
        <v>12</v>
      </c>
      <c r="CW431" s="59"/>
      <c r="CX431" s="59"/>
      <c r="CY431" s="59">
        <v>1</v>
      </c>
      <c r="CZ431" s="59"/>
      <c r="DA431" s="59"/>
      <c r="DB431" s="59">
        <v>0</v>
      </c>
      <c r="DC431" s="59"/>
      <c r="DD431" s="59"/>
      <c r="DE431" s="59"/>
      <c r="DF431" s="59"/>
      <c r="DG431" s="59">
        <v>1</v>
      </c>
      <c r="DH431" s="59">
        <v>0</v>
      </c>
      <c r="DI431" s="59">
        <v>0</v>
      </c>
      <c r="DJ431" s="59">
        <v>1</v>
      </c>
      <c r="DK431" s="59"/>
      <c r="DL431" s="59"/>
      <c r="DM431" s="59">
        <v>21</v>
      </c>
      <c r="DN431" s="59"/>
      <c r="DO431" s="59">
        <v>1</v>
      </c>
      <c r="DP431" s="59"/>
      <c r="DQ431" s="59"/>
      <c r="DR431" s="59"/>
      <c r="DS431" s="59">
        <v>6</v>
      </c>
      <c r="DT431" s="59">
        <v>0</v>
      </c>
      <c r="DU431" s="59">
        <v>0</v>
      </c>
      <c r="DV431" s="38">
        <f t="shared" si="190"/>
        <v>79</v>
      </c>
      <c r="DW431" s="14" t="str">
        <f t="shared" si="191"/>
        <v/>
      </c>
      <c r="DX431" s="369"/>
      <c r="DY431" s="369">
        <f t="shared" si="193"/>
        <v>79</v>
      </c>
    </row>
    <row r="432" spans="1:129" customFormat="1">
      <c r="A432" s="210">
        <v>37408</v>
      </c>
      <c r="B432" s="211"/>
      <c r="C432" s="8">
        <v>2</v>
      </c>
      <c r="D432" s="59">
        <v>35</v>
      </c>
      <c r="E432" s="59">
        <v>2</v>
      </c>
      <c r="F432" s="59">
        <v>0</v>
      </c>
      <c r="G432" s="59">
        <v>0</v>
      </c>
      <c r="H432" s="59">
        <v>2</v>
      </c>
      <c r="I432" s="59">
        <v>0</v>
      </c>
      <c r="J432" s="59">
        <v>14</v>
      </c>
      <c r="K432" s="59">
        <v>0</v>
      </c>
      <c r="L432" s="59">
        <v>1</v>
      </c>
      <c r="M432" s="59">
        <v>0</v>
      </c>
      <c r="N432" s="59">
        <v>0</v>
      </c>
      <c r="O432" s="59">
        <v>2</v>
      </c>
      <c r="P432" s="59">
        <v>0</v>
      </c>
      <c r="Q432" s="59">
        <v>0</v>
      </c>
      <c r="R432" s="59">
        <v>0</v>
      </c>
      <c r="S432" s="35">
        <f t="shared" si="192"/>
        <v>58</v>
      </c>
      <c r="T432" s="59">
        <v>0</v>
      </c>
      <c r="U432" s="59">
        <v>23</v>
      </c>
      <c r="V432" s="59"/>
      <c r="W432" s="59">
        <v>0</v>
      </c>
      <c r="X432" s="5">
        <v>1</v>
      </c>
      <c r="Y432" s="10"/>
      <c r="Z432" s="61">
        <v>1268224</v>
      </c>
      <c r="AA432" s="59"/>
      <c r="AB432" s="59"/>
      <c r="AC432" s="61">
        <v>1251102</v>
      </c>
      <c r="AD432" s="59"/>
      <c r="AE432" s="35">
        <f t="shared" si="189"/>
        <v>1251102</v>
      </c>
      <c r="AF432" s="10"/>
      <c r="AG432" s="8">
        <v>132</v>
      </c>
      <c r="AH432" s="59">
        <v>1</v>
      </c>
      <c r="AI432" s="59">
        <v>150</v>
      </c>
      <c r="AJ432" s="5"/>
      <c r="AK432" s="10"/>
      <c r="AL432" s="8"/>
      <c r="AM432" s="10"/>
      <c r="AN432" s="35"/>
      <c r="AO432" s="279"/>
      <c r="AP432" s="279"/>
      <c r="AQ432" s="281"/>
      <c r="AR432" s="59">
        <v>159</v>
      </c>
      <c r="AS432" s="59"/>
      <c r="AT432" s="59"/>
      <c r="AU432" s="59"/>
      <c r="AV432" s="62"/>
      <c r="AW432" s="10"/>
      <c r="AX432" s="326"/>
      <c r="AY432" s="5"/>
      <c r="AZ432" s="10"/>
      <c r="BA432" s="8">
        <v>1722</v>
      </c>
      <c r="BB432" s="59">
        <v>32465395</v>
      </c>
      <c r="BC432" s="59"/>
      <c r="BD432" s="59"/>
      <c r="BE432" s="59">
        <v>61</v>
      </c>
      <c r="BF432" s="59">
        <v>3</v>
      </c>
      <c r="BG432" s="59">
        <v>1</v>
      </c>
      <c r="BH432" s="351"/>
      <c r="BI432" s="59">
        <v>2417740</v>
      </c>
      <c r="BJ432" s="342">
        <v>37417</v>
      </c>
      <c r="BK432" s="342">
        <v>37487</v>
      </c>
      <c r="BL432" s="320">
        <f>BK432-BJ432</f>
        <v>70</v>
      </c>
      <c r="BM432" s="5"/>
      <c r="BN432" s="10"/>
      <c r="BO432" s="8"/>
      <c r="BP432" s="62">
        <v>156</v>
      </c>
      <c r="BQ432" s="10"/>
      <c r="BR432" s="29">
        <v>2002</v>
      </c>
      <c r="BS432" s="64">
        <v>2002</v>
      </c>
      <c r="BT432" s="14">
        <v>11</v>
      </c>
      <c r="BU432" s="10"/>
      <c r="BV432" s="8">
        <v>8</v>
      </c>
      <c r="BW432" s="59">
        <v>0</v>
      </c>
      <c r="BX432" s="59">
        <v>0</v>
      </c>
      <c r="BY432" s="59"/>
      <c r="BZ432" s="59"/>
      <c r="CA432" s="59"/>
      <c r="CB432" s="59"/>
      <c r="CC432" s="221"/>
      <c r="CD432" s="59">
        <v>8</v>
      </c>
      <c r="CE432" s="317">
        <v>0</v>
      </c>
      <c r="CF432" s="59">
        <v>0</v>
      </c>
      <c r="CG432" s="59">
        <v>4</v>
      </c>
      <c r="CH432" s="59"/>
      <c r="CI432" s="59">
        <v>1</v>
      </c>
      <c r="CJ432" s="59">
        <v>1</v>
      </c>
      <c r="CK432" s="59"/>
      <c r="CL432" s="59"/>
      <c r="CM432" s="59">
        <v>0</v>
      </c>
      <c r="CN432" s="59"/>
      <c r="CO432" s="59">
        <v>9</v>
      </c>
      <c r="CP432" s="317"/>
      <c r="CQ432" s="59"/>
      <c r="CR432" s="59"/>
      <c r="CS432" s="59">
        <v>14</v>
      </c>
      <c r="CT432" s="59">
        <v>4</v>
      </c>
      <c r="CU432" s="59">
        <v>0</v>
      </c>
      <c r="CV432" s="59">
        <v>1</v>
      </c>
      <c r="CW432" s="59"/>
      <c r="CX432" s="59"/>
      <c r="CY432" s="59">
        <v>0</v>
      </c>
      <c r="CZ432" s="59"/>
      <c r="DA432" s="59"/>
      <c r="DB432" s="59">
        <v>6</v>
      </c>
      <c r="DC432" s="59"/>
      <c r="DD432" s="59"/>
      <c r="DE432" s="59"/>
      <c r="DF432" s="59"/>
      <c r="DG432" s="59">
        <v>2</v>
      </c>
      <c r="DH432" s="59">
        <v>0</v>
      </c>
      <c r="DI432" s="59">
        <v>0</v>
      </c>
      <c r="DJ432" s="59">
        <v>0</v>
      </c>
      <c r="DK432" s="59"/>
      <c r="DL432" s="59"/>
      <c r="DM432" s="59">
        <v>0</v>
      </c>
      <c r="DN432" s="59"/>
      <c r="DO432" s="59">
        <v>0</v>
      </c>
      <c r="DP432" s="59"/>
      <c r="DQ432" s="59"/>
      <c r="DR432" s="59"/>
      <c r="DS432" s="59">
        <v>0</v>
      </c>
      <c r="DT432" s="59">
        <v>0</v>
      </c>
      <c r="DU432" s="59">
        <v>0</v>
      </c>
      <c r="DV432" s="38">
        <f t="shared" si="190"/>
        <v>58</v>
      </c>
      <c r="DW432" s="14" t="str">
        <f t="shared" si="191"/>
        <v/>
      </c>
      <c r="DX432" s="369"/>
      <c r="DY432" s="369">
        <f t="shared" si="193"/>
        <v>58</v>
      </c>
    </row>
    <row r="433" spans="1:129" customFormat="1">
      <c r="A433" s="210">
        <v>37422</v>
      </c>
      <c r="B433" s="211"/>
      <c r="C433" s="8">
        <v>1</v>
      </c>
      <c r="D433" s="59">
        <v>8</v>
      </c>
      <c r="E433" s="59">
        <v>0</v>
      </c>
      <c r="F433" s="59">
        <v>0</v>
      </c>
      <c r="G433" s="59">
        <v>0</v>
      </c>
      <c r="H433" s="59">
        <v>0</v>
      </c>
      <c r="I433" s="59">
        <v>0</v>
      </c>
      <c r="J433" s="59">
        <v>21</v>
      </c>
      <c r="K433" s="59">
        <v>0</v>
      </c>
      <c r="L433" s="59">
        <v>0</v>
      </c>
      <c r="M433" s="59">
        <v>0</v>
      </c>
      <c r="N433" s="59">
        <v>0</v>
      </c>
      <c r="O433" s="59">
        <v>0</v>
      </c>
      <c r="P433" s="59">
        <v>0</v>
      </c>
      <c r="Q433" s="59">
        <v>0</v>
      </c>
      <c r="R433" s="59">
        <v>0</v>
      </c>
      <c r="S433" s="35">
        <f t="shared" si="192"/>
        <v>30</v>
      </c>
      <c r="T433" s="59">
        <v>0</v>
      </c>
      <c r="U433" s="59">
        <v>13</v>
      </c>
      <c r="V433" s="59"/>
      <c r="W433" s="59">
        <v>0</v>
      </c>
      <c r="X433" s="5">
        <v>0</v>
      </c>
      <c r="Y433" s="10"/>
      <c r="Z433" s="61">
        <v>1882624</v>
      </c>
      <c r="AA433" s="59"/>
      <c r="AB433" s="59"/>
      <c r="AC433" s="61">
        <v>199427</v>
      </c>
      <c r="AD433" s="59"/>
      <c r="AE433" s="35">
        <f t="shared" si="189"/>
        <v>199427</v>
      </c>
      <c r="AF433" s="10"/>
      <c r="AG433" s="8">
        <v>27</v>
      </c>
      <c r="AH433" s="59">
        <v>55</v>
      </c>
      <c r="AI433" s="59">
        <v>98</v>
      </c>
      <c r="AJ433" s="5"/>
      <c r="AK433" s="10"/>
      <c r="AL433" s="8"/>
      <c r="AM433" s="10"/>
      <c r="AN433" s="35"/>
      <c r="AO433" s="279"/>
      <c r="AP433" s="279"/>
      <c r="AQ433" s="281"/>
      <c r="AR433" s="59">
        <v>159</v>
      </c>
      <c r="AS433" s="59"/>
      <c r="AT433" s="59"/>
      <c r="AU433" s="59"/>
      <c r="AV433" s="62"/>
      <c r="AW433" s="10"/>
      <c r="AX433" s="326"/>
      <c r="AY433" s="5"/>
      <c r="AZ433" s="10"/>
      <c r="BA433" s="8"/>
      <c r="BB433" s="10"/>
      <c r="BC433" s="10"/>
      <c r="BD433" s="10"/>
      <c r="BE433" s="10"/>
      <c r="BF433" s="10"/>
      <c r="BG433" s="10"/>
      <c r="BH433" s="30"/>
      <c r="BI433" s="10"/>
      <c r="BJ433" s="338"/>
      <c r="BK433" s="338"/>
      <c r="BL433" s="320"/>
      <c r="BM433" s="5"/>
      <c r="BN433" s="10"/>
      <c r="BO433" s="8"/>
      <c r="BP433" s="5"/>
      <c r="BQ433" s="10"/>
      <c r="BR433" s="29">
        <v>2002</v>
      </c>
      <c r="BS433" s="64">
        <v>2002</v>
      </c>
      <c r="BT433" s="14">
        <v>12</v>
      </c>
      <c r="BU433" s="10"/>
      <c r="BV433" s="8">
        <v>4</v>
      </c>
      <c r="BW433" s="59">
        <v>1</v>
      </c>
      <c r="BX433" s="59">
        <v>0</v>
      </c>
      <c r="BY433" s="59"/>
      <c r="BZ433" s="59"/>
      <c r="CA433" s="59"/>
      <c r="CB433" s="59"/>
      <c r="CC433" s="221"/>
      <c r="CD433" s="59">
        <v>3</v>
      </c>
      <c r="CE433" s="317">
        <v>0</v>
      </c>
      <c r="CF433" s="59">
        <v>0</v>
      </c>
      <c r="CG433" s="59">
        <v>0</v>
      </c>
      <c r="CH433" s="59"/>
      <c r="CI433" s="59">
        <v>0</v>
      </c>
      <c r="CJ433" s="59">
        <v>0</v>
      </c>
      <c r="CK433" s="59"/>
      <c r="CL433" s="59"/>
      <c r="CM433" s="59">
        <v>1</v>
      </c>
      <c r="CN433" s="59"/>
      <c r="CO433" s="59">
        <v>1</v>
      </c>
      <c r="CP433" s="317"/>
      <c r="CQ433" s="59"/>
      <c r="CR433" s="59"/>
      <c r="CS433" s="59">
        <v>0</v>
      </c>
      <c r="CT433" s="59">
        <v>6</v>
      </c>
      <c r="CU433" s="59">
        <v>0</v>
      </c>
      <c r="CV433" s="59">
        <v>1</v>
      </c>
      <c r="CW433" s="59"/>
      <c r="CX433" s="59"/>
      <c r="CY433" s="59">
        <v>0</v>
      </c>
      <c r="CZ433" s="59"/>
      <c r="DA433" s="59"/>
      <c r="DB433" s="59">
        <v>2</v>
      </c>
      <c r="DC433" s="59"/>
      <c r="DD433" s="59"/>
      <c r="DE433" s="59"/>
      <c r="DF433" s="59"/>
      <c r="DG433" s="59">
        <v>0</v>
      </c>
      <c r="DH433" s="59">
        <v>0</v>
      </c>
      <c r="DI433" s="59">
        <v>0</v>
      </c>
      <c r="DJ433" s="59">
        <v>1</v>
      </c>
      <c r="DK433" s="59"/>
      <c r="DL433" s="59"/>
      <c r="DM433" s="59">
        <v>1</v>
      </c>
      <c r="DN433" s="59"/>
      <c r="DO433" s="59">
        <v>0</v>
      </c>
      <c r="DP433" s="59"/>
      <c r="DQ433" s="59"/>
      <c r="DR433" s="59"/>
      <c r="DS433" s="59">
        <v>9</v>
      </c>
      <c r="DT433" s="59">
        <v>0</v>
      </c>
      <c r="DU433" s="59">
        <v>0</v>
      </c>
      <c r="DV433" s="38">
        <f t="shared" si="190"/>
        <v>30</v>
      </c>
      <c r="DW433" s="14" t="str">
        <f t="shared" si="191"/>
        <v/>
      </c>
      <c r="DX433" s="369"/>
      <c r="DY433" s="369">
        <f t="shared" si="193"/>
        <v>30</v>
      </c>
    </row>
    <row r="434" spans="1:129" s="6" customFormat="1" ht="12" thickBot="1">
      <c r="A434" s="212" t="s">
        <v>152</v>
      </c>
      <c r="B434" s="83"/>
      <c r="C434" s="52">
        <f t="shared" ref="C434:X434" si="194">SUM(C410:C433)</f>
        <v>48</v>
      </c>
      <c r="D434" s="53">
        <f t="shared" si="194"/>
        <v>361</v>
      </c>
      <c r="E434" s="53">
        <f t="shared" si="194"/>
        <v>22</v>
      </c>
      <c r="F434" s="53">
        <f t="shared" si="194"/>
        <v>12</v>
      </c>
      <c r="G434" s="53">
        <f t="shared" si="194"/>
        <v>33</v>
      </c>
      <c r="H434" s="53">
        <f t="shared" si="194"/>
        <v>20</v>
      </c>
      <c r="I434" s="53">
        <f>SUM(I410:I433)</f>
        <v>0</v>
      </c>
      <c r="J434" s="53">
        <f t="shared" si="194"/>
        <v>447</v>
      </c>
      <c r="K434" s="53">
        <f t="shared" si="194"/>
        <v>14</v>
      </c>
      <c r="L434" s="53">
        <f t="shared" si="194"/>
        <v>2</v>
      </c>
      <c r="M434" s="53">
        <f t="shared" ref="M434:P434" si="195">SUM(M410:M433)</f>
        <v>1</v>
      </c>
      <c r="N434" s="53">
        <f t="shared" si="195"/>
        <v>0</v>
      </c>
      <c r="O434" s="53">
        <f>SUM(O410:O433)</f>
        <v>121</v>
      </c>
      <c r="P434" s="53">
        <f t="shared" si="195"/>
        <v>13</v>
      </c>
      <c r="Q434" s="53">
        <f t="shared" si="194"/>
        <v>4</v>
      </c>
      <c r="R434" s="53">
        <f t="shared" si="194"/>
        <v>12</v>
      </c>
      <c r="S434" s="55">
        <f t="shared" si="194"/>
        <v>1110</v>
      </c>
      <c r="T434" s="53">
        <f t="shared" si="194"/>
        <v>24</v>
      </c>
      <c r="U434" s="53">
        <f t="shared" si="194"/>
        <v>271</v>
      </c>
      <c r="V434" s="53">
        <f t="shared" ref="V434" si="196">SUM(V410:V433)</f>
        <v>0</v>
      </c>
      <c r="W434" s="53">
        <f t="shared" si="194"/>
        <v>0</v>
      </c>
      <c r="X434" s="54">
        <f t="shared" si="194"/>
        <v>10</v>
      </c>
      <c r="Z434" s="52">
        <f>SUM(Z410:Z433)</f>
        <v>42922007</v>
      </c>
      <c r="AA434" s="53">
        <f>SUM(AA410:AA433)</f>
        <v>4685178</v>
      </c>
      <c r="AB434" s="53"/>
      <c r="AC434" s="52">
        <f>SUM(AC410:AC433)</f>
        <v>13912054</v>
      </c>
      <c r="AD434" s="53">
        <f>SUM(AD410:AD433)</f>
        <v>6464517</v>
      </c>
      <c r="AE434" s="55">
        <f>SUM(AE410:AE433)</f>
        <v>20376571</v>
      </c>
      <c r="AG434" s="52">
        <f>SUM(AG410:AG433)</f>
        <v>1787</v>
      </c>
      <c r="AH434" s="53">
        <f>SUM(AH410:AH433)</f>
        <v>942</v>
      </c>
      <c r="AI434" s="53">
        <f>SUM(AI410:AI433)</f>
        <v>3099</v>
      </c>
      <c r="AJ434" s="54">
        <f>SUM(AJ410:AJ433)</f>
        <v>148</v>
      </c>
      <c r="AL434" s="52">
        <f t="shared" ref="AL434:AV434" si="197">SUM(AL410:AL433)</f>
        <v>136</v>
      </c>
      <c r="AM434" s="53">
        <f t="shared" si="197"/>
        <v>246</v>
      </c>
      <c r="AN434" s="55">
        <f t="shared" si="197"/>
        <v>382</v>
      </c>
      <c r="AO434" s="53">
        <f t="shared" si="197"/>
        <v>200</v>
      </c>
      <c r="AP434" s="53">
        <f t="shared" si="197"/>
        <v>33</v>
      </c>
      <c r="AQ434" s="55">
        <f t="shared" si="197"/>
        <v>233</v>
      </c>
      <c r="AR434" s="53">
        <f t="shared" si="197"/>
        <v>3660</v>
      </c>
      <c r="AS434" s="53">
        <f t="shared" si="197"/>
        <v>440</v>
      </c>
      <c r="AT434" s="53">
        <f t="shared" si="197"/>
        <v>1459</v>
      </c>
      <c r="AU434" s="53">
        <f t="shared" si="197"/>
        <v>259</v>
      </c>
      <c r="AV434" s="54">
        <f t="shared" si="197"/>
        <v>2216</v>
      </c>
      <c r="AX434" s="329"/>
      <c r="AY434" s="54"/>
      <c r="BA434" s="52">
        <f t="shared" ref="BA434:BM434" si="198">SUM(BA410:BA433)</f>
        <v>20555</v>
      </c>
      <c r="BB434" s="53">
        <f t="shared" si="198"/>
        <v>405548882</v>
      </c>
      <c r="BC434" s="53">
        <f t="shared" si="198"/>
        <v>0</v>
      </c>
      <c r="BD434" s="53"/>
      <c r="BE434" s="53">
        <f t="shared" si="198"/>
        <v>878</v>
      </c>
      <c r="BF434" s="53">
        <f t="shared" si="198"/>
        <v>50</v>
      </c>
      <c r="BG434" s="53">
        <f t="shared" si="198"/>
        <v>24</v>
      </c>
      <c r="BH434" s="55"/>
      <c r="BI434" s="53">
        <f t="shared" si="198"/>
        <v>26393217</v>
      </c>
      <c r="BJ434" s="339"/>
      <c r="BK434" s="339"/>
      <c r="BL434" s="304"/>
      <c r="BM434" s="54">
        <f t="shared" si="198"/>
        <v>4280</v>
      </c>
      <c r="BO434" s="52">
        <f>SUM(BO410:BO433)</f>
        <v>0</v>
      </c>
      <c r="BP434" s="54">
        <f>SUM(BP410:BP433)</f>
        <v>1875</v>
      </c>
      <c r="BR434" s="81" t="s">
        <v>156</v>
      </c>
      <c r="BS434" s="80"/>
      <c r="BT434" s="82"/>
      <c r="BV434" s="52">
        <f>SUM(BV410:BV433)</f>
        <v>28</v>
      </c>
      <c r="BW434" s="53">
        <f>SUM(BW410:BW433)</f>
        <v>42</v>
      </c>
      <c r="BX434" s="53">
        <f t="shared" ref="BX434:DU434" si="199">SUM(BX410:BX433)</f>
        <v>33</v>
      </c>
      <c r="BY434" s="53">
        <f t="shared" si="199"/>
        <v>0</v>
      </c>
      <c r="BZ434" s="53">
        <f t="shared" si="199"/>
        <v>0</v>
      </c>
      <c r="CA434" s="53">
        <f t="shared" si="199"/>
        <v>0</v>
      </c>
      <c r="CB434" s="53">
        <f t="shared" si="199"/>
        <v>0</v>
      </c>
      <c r="CC434" s="53">
        <f t="shared" si="199"/>
        <v>0</v>
      </c>
      <c r="CD434" s="53">
        <f t="shared" si="199"/>
        <v>73</v>
      </c>
      <c r="CE434" s="53">
        <f t="shared" si="199"/>
        <v>0</v>
      </c>
      <c r="CF434" s="53">
        <f t="shared" si="199"/>
        <v>21</v>
      </c>
      <c r="CG434" s="53">
        <f t="shared" si="199"/>
        <v>17</v>
      </c>
      <c r="CH434" s="53">
        <f t="shared" si="199"/>
        <v>0</v>
      </c>
      <c r="CI434" s="53">
        <f t="shared" si="199"/>
        <v>44</v>
      </c>
      <c r="CJ434" s="53">
        <f t="shared" si="199"/>
        <v>86</v>
      </c>
      <c r="CK434" s="53">
        <f t="shared" si="199"/>
        <v>0</v>
      </c>
      <c r="CL434" s="53">
        <f t="shared" si="199"/>
        <v>0</v>
      </c>
      <c r="CM434" s="53">
        <f t="shared" si="199"/>
        <v>2</v>
      </c>
      <c r="CN434" s="53">
        <f t="shared" si="199"/>
        <v>1</v>
      </c>
      <c r="CO434" s="53">
        <f t="shared" si="199"/>
        <v>61</v>
      </c>
      <c r="CP434" s="53">
        <f t="shared" si="199"/>
        <v>0</v>
      </c>
      <c r="CQ434" s="53">
        <f t="shared" si="199"/>
        <v>0</v>
      </c>
      <c r="CR434" s="53">
        <f t="shared" si="199"/>
        <v>0</v>
      </c>
      <c r="CS434" s="53">
        <f t="shared" si="199"/>
        <v>22</v>
      </c>
      <c r="CT434" s="53">
        <f t="shared" si="199"/>
        <v>38</v>
      </c>
      <c r="CU434" s="53">
        <f t="shared" si="199"/>
        <v>0</v>
      </c>
      <c r="CV434" s="53">
        <f t="shared" si="199"/>
        <v>57</v>
      </c>
      <c r="CW434" s="53">
        <f t="shared" si="199"/>
        <v>0</v>
      </c>
      <c r="CX434" s="53">
        <f t="shared" si="199"/>
        <v>0</v>
      </c>
      <c r="CY434" s="53">
        <f t="shared" si="199"/>
        <v>26</v>
      </c>
      <c r="CZ434" s="53">
        <f t="shared" si="199"/>
        <v>1</v>
      </c>
      <c r="DA434" s="53">
        <f t="shared" si="199"/>
        <v>0</v>
      </c>
      <c r="DB434" s="53">
        <f t="shared" si="199"/>
        <v>113</v>
      </c>
      <c r="DC434" s="53">
        <f t="shared" si="199"/>
        <v>0</v>
      </c>
      <c r="DD434" s="53">
        <f t="shared" si="199"/>
        <v>0</v>
      </c>
      <c r="DE434" s="53">
        <f t="shared" si="199"/>
        <v>0</v>
      </c>
      <c r="DF434" s="53">
        <f t="shared" si="199"/>
        <v>0</v>
      </c>
      <c r="DG434" s="53">
        <f t="shared" si="199"/>
        <v>26</v>
      </c>
      <c r="DH434" s="53">
        <f t="shared" si="199"/>
        <v>6</v>
      </c>
      <c r="DI434" s="53">
        <f t="shared" si="199"/>
        <v>16</v>
      </c>
      <c r="DJ434" s="53">
        <f t="shared" si="199"/>
        <v>8</v>
      </c>
      <c r="DK434" s="53">
        <f t="shared" si="199"/>
        <v>0</v>
      </c>
      <c r="DL434" s="53">
        <f t="shared" si="199"/>
        <v>0</v>
      </c>
      <c r="DM434" s="53">
        <f t="shared" si="199"/>
        <v>50</v>
      </c>
      <c r="DN434" s="53">
        <f t="shared" si="199"/>
        <v>0</v>
      </c>
      <c r="DO434" s="53">
        <f t="shared" si="199"/>
        <v>42</v>
      </c>
      <c r="DP434" s="53">
        <f t="shared" si="199"/>
        <v>0</v>
      </c>
      <c r="DQ434" s="53">
        <f t="shared" si="199"/>
        <v>0</v>
      </c>
      <c r="DR434" s="53">
        <f t="shared" si="199"/>
        <v>0</v>
      </c>
      <c r="DS434" s="53">
        <f t="shared" si="199"/>
        <v>35</v>
      </c>
      <c r="DT434" s="53">
        <f t="shared" si="199"/>
        <v>12</v>
      </c>
      <c r="DU434" s="53">
        <f t="shared" si="199"/>
        <v>12</v>
      </c>
      <c r="DV434" s="54">
        <f t="shared" si="190"/>
        <v>872</v>
      </c>
      <c r="DW434" s="48"/>
      <c r="DY434" s="6">
        <f>SUM(DY410:DY433)</f>
        <v>1110</v>
      </c>
    </row>
    <row r="435" spans="1:129" s="6" customFormat="1" ht="12" thickTop="1">
      <c r="A435" s="213" t="s">
        <v>153</v>
      </c>
      <c r="B435" s="24"/>
      <c r="C435" s="39">
        <f t="shared" ref="C435:R435" si="200">ROUND(IF(ISERROR(AVERAGE(C410:C433)),0,AVERAGE(C410:C433)),0)</f>
        <v>2</v>
      </c>
      <c r="D435" s="24">
        <f t="shared" si="200"/>
        <v>15</v>
      </c>
      <c r="E435" s="24">
        <f t="shared" si="200"/>
        <v>1</v>
      </c>
      <c r="F435" s="24">
        <f t="shared" si="200"/>
        <v>1</v>
      </c>
      <c r="G435" s="24">
        <f t="shared" si="200"/>
        <v>1</v>
      </c>
      <c r="H435" s="24">
        <f t="shared" si="200"/>
        <v>1</v>
      </c>
      <c r="I435" s="24">
        <f>ROUND(IF(ISERROR(AVERAGE(I410:I433)),0,AVERAGE(I410:I433)),0)</f>
        <v>0</v>
      </c>
      <c r="J435" s="24">
        <f t="shared" si="200"/>
        <v>19</v>
      </c>
      <c r="K435" s="24">
        <f t="shared" si="200"/>
        <v>1</v>
      </c>
      <c r="L435" s="24">
        <f t="shared" si="200"/>
        <v>0</v>
      </c>
      <c r="M435" s="24">
        <f t="shared" ref="M435:P435" si="201">ROUND(IF(ISERROR(AVERAGE(M410:M433)),0,AVERAGE(M410:M433)),0)</f>
        <v>0</v>
      </c>
      <c r="N435" s="24">
        <f t="shared" si="201"/>
        <v>0</v>
      </c>
      <c r="O435" s="24">
        <f>ROUND(IF(ISERROR(AVERAGE(O410:O433)),0,AVERAGE(O410:O433)),0)</f>
        <v>5</v>
      </c>
      <c r="P435" s="24">
        <f t="shared" si="201"/>
        <v>1</v>
      </c>
      <c r="Q435" s="24">
        <f t="shared" si="200"/>
        <v>0</v>
      </c>
      <c r="R435" s="24">
        <f t="shared" si="200"/>
        <v>1</v>
      </c>
      <c r="S435" s="31">
        <f>SUM(C435:R435)</f>
        <v>48</v>
      </c>
      <c r="T435" s="24">
        <f>ROUND(IF(ISERROR(AVERAGE(T410:T433)),0,AVERAGE(T410:T433)),0)</f>
        <v>1</v>
      </c>
      <c r="U435" s="24">
        <f>ROUND(IF(ISERROR(AVERAGE(U410:U433)),0,AVERAGE(U410:U433)),0)</f>
        <v>11</v>
      </c>
      <c r="V435" s="24">
        <f>ROUND(IF(ISERROR(AVERAGE(V410:V433)),0,AVERAGE(V410:V433)),0)</f>
        <v>0</v>
      </c>
      <c r="W435" s="24">
        <f>ROUND(IF(ISERROR(AVERAGE(W410:W433)),0,AVERAGE(W410:W433)),0)</f>
        <v>0</v>
      </c>
      <c r="X435" s="40">
        <f>ROUND(IF(ISERROR(AVERAGE(X410:X433)),0,AVERAGE(X410:X433)),0)</f>
        <v>0</v>
      </c>
      <c r="Z435" s="39">
        <f>ROUND(IF(ISERROR(AVERAGE(Z410:Z433)),0,AVERAGE(Z410:Z433)),0)</f>
        <v>1788417</v>
      </c>
      <c r="AA435" s="24">
        <f>ROUND(IF(ISERROR(AVERAGE(AA410:AA433)),0,AVERAGE(AA410:AA433)),0)</f>
        <v>780863</v>
      </c>
      <c r="AB435" s="24"/>
      <c r="AC435" s="39">
        <f>ROUND(IF(ISERROR(AVERAGE(AC410:AC433)),0,AVERAGE(AC410:AC433)),0)</f>
        <v>579669</v>
      </c>
      <c r="AD435" s="24">
        <f>ROUND(IF(ISERROR(AVERAGE(AD410:AD433)),0,AVERAGE(AD410:AD433)),0)</f>
        <v>1077420</v>
      </c>
      <c r="AE435" s="31">
        <f>SUM(AC435:AD435)</f>
        <v>1657089</v>
      </c>
      <c r="AG435" s="39">
        <f>ROUND(IF(ISERROR(AVERAGE(AG410:AG433)),0,AVERAGE(AG410:AG433)),0)</f>
        <v>74</v>
      </c>
      <c r="AH435" s="24">
        <f>ROUND(IF(ISERROR(AVERAGE(AH410:AH433)),0,AVERAGE(AH410:AH433)),0)</f>
        <v>39</v>
      </c>
      <c r="AI435" s="24">
        <f>ROUND(IF(ISERROR(AVERAGE(AI410:AI433)),0,AVERAGE(AI410:AI433)),0)</f>
        <v>129</v>
      </c>
      <c r="AJ435" s="40">
        <f>ROUND(IF(ISERROR(AVERAGE(AJ410:AJ433)),0,AVERAGE(AJ410:AJ433)),0)</f>
        <v>25</v>
      </c>
      <c r="AL435" s="39">
        <f>ROUND(IF(ISERROR(AVERAGE(AL410:AL433)),0,AVERAGE(AL410:AL433)),0)</f>
        <v>34</v>
      </c>
      <c r="AM435" s="24">
        <f>ROUND(IF(ISERROR(AVERAGE(AM410:AM433)),0,AVERAGE(AM410:AM433)),0)</f>
        <v>62</v>
      </c>
      <c r="AN435" s="31">
        <f>SUM(AL435:AM435)</f>
        <v>96</v>
      </c>
      <c r="AO435" s="24">
        <f>ROUND(IF(ISERROR(AVERAGE(AO410:AO433)),0,AVERAGE(AO410:AO433)),0)</f>
        <v>50</v>
      </c>
      <c r="AP435" s="24">
        <f>ROUND(IF(ISERROR(AVERAGE(AP410:AP433)),0,AVERAGE(AP410:AP433)),0)</f>
        <v>8</v>
      </c>
      <c r="AQ435" s="31">
        <f>SUM(AO435:AP435)</f>
        <v>58</v>
      </c>
      <c r="AR435" s="24">
        <f>ROUND(IF(ISERROR(AVERAGE(AR410:AR433)),0,AVERAGE(AR410:AR433)),0)</f>
        <v>153</v>
      </c>
      <c r="AS435" s="24">
        <f>ROUND(IF(ISERROR(AVERAGE(AS410:AS433)),0,AVERAGE(AS410:AS433)),0)</f>
        <v>44</v>
      </c>
      <c r="AT435" s="24">
        <f>ROUND(IF(ISERROR(AVERAGE(AT410:AT433)),0,AVERAGE(AT410:AT433)),0)</f>
        <v>146</v>
      </c>
      <c r="AU435" s="24">
        <f>ROUND(IF(ISERROR(AVERAGE(AU410:AU433)),0,AVERAGE(AU410:AU433)),0)</f>
        <v>26</v>
      </c>
      <c r="AV435" s="40">
        <f>ROUND(IF(ISERROR(AVERAGE(AV410:AV433)),0,AVERAGE(AV410:AV433)),0)</f>
        <v>222</v>
      </c>
      <c r="AX435" s="330"/>
      <c r="AY435" s="40"/>
      <c r="BA435" s="39">
        <f t="shared" ref="BA435:BM435" si="202">ROUND(IF(ISERROR(AVERAGE(BA410:BA433)),0,AVERAGE(BA410:BA433)),0)</f>
        <v>1713</v>
      </c>
      <c r="BB435" s="24">
        <f t="shared" si="202"/>
        <v>33795740</v>
      </c>
      <c r="BC435" s="24">
        <f t="shared" si="202"/>
        <v>0</v>
      </c>
      <c r="BD435" s="24"/>
      <c r="BE435" s="24">
        <f t="shared" si="202"/>
        <v>73</v>
      </c>
      <c r="BF435" s="24">
        <f t="shared" si="202"/>
        <v>4</v>
      </c>
      <c r="BG435" s="24">
        <f t="shared" si="202"/>
        <v>2</v>
      </c>
      <c r="BH435" s="31"/>
      <c r="BI435" s="24">
        <f t="shared" si="202"/>
        <v>2199435</v>
      </c>
      <c r="BJ435" s="340"/>
      <c r="BK435" s="340"/>
      <c r="BL435" s="305">
        <f>AVERAGE(BL410:BL433)</f>
        <v>77.666666666666671</v>
      </c>
      <c r="BM435" s="40">
        <f t="shared" si="202"/>
        <v>4280</v>
      </c>
      <c r="BO435" s="39">
        <f>ROUND(IF(ISERROR(AVERAGE(BO410:BO433)),0,AVERAGE(BO410:BO433)),0)</f>
        <v>0</v>
      </c>
      <c r="BP435" s="40">
        <f>ROUND(IF(ISERROR(AVERAGE(BP410:BP433)),0,AVERAGE(BP410:BP433)),0)</f>
        <v>156</v>
      </c>
      <c r="BR435" s="65" t="s">
        <v>157</v>
      </c>
      <c r="BS435" s="19"/>
      <c r="BT435" s="14"/>
      <c r="BV435" s="39">
        <f>ROUND(IF(ISERROR(AVERAGE(BV410:BV433)),0,AVERAGE(BV410:BV433)),0)</f>
        <v>2</v>
      </c>
      <c r="BW435" s="24">
        <f>ROUND(IF(ISERROR(AVERAGE(BW410:BW433)),0,AVERAGE(BW410:BW433)),0)</f>
        <v>2</v>
      </c>
      <c r="BX435" s="24">
        <f t="shared" ref="BX435:DU435" si="203">ROUND(IF(ISERROR(AVERAGE(BX410:BX433)),0,AVERAGE(BX410:BX433)),0)</f>
        <v>2</v>
      </c>
      <c r="BY435" s="24">
        <f t="shared" si="203"/>
        <v>0</v>
      </c>
      <c r="BZ435" s="24">
        <f t="shared" si="203"/>
        <v>0</v>
      </c>
      <c r="CA435" s="24">
        <f t="shared" si="203"/>
        <v>0</v>
      </c>
      <c r="CB435" s="24">
        <f t="shared" si="203"/>
        <v>0</v>
      </c>
      <c r="CC435" s="24">
        <f t="shared" si="203"/>
        <v>0</v>
      </c>
      <c r="CD435" s="24">
        <f t="shared" si="203"/>
        <v>4</v>
      </c>
      <c r="CE435" s="24">
        <f t="shared" si="203"/>
        <v>0</v>
      </c>
      <c r="CF435" s="24">
        <f t="shared" si="203"/>
        <v>1</v>
      </c>
      <c r="CG435" s="24">
        <f t="shared" si="203"/>
        <v>1</v>
      </c>
      <c r="CH435" s="24">
        <f t="shared" si="203"/>
        <v>0</v>
      </c>
      <c r="CI435" s="24">
        <f t="shared" si="203"/>
        <v>2</v>
      </c>
      <c r="CJ435" s="24">
        <f t="shared" si="203"/>
        <v>5</v>
      </c>
      <c r="CK435" s="24">
        <f t="shared" si="203"/>
        <v>0</v>
      </c>
      <c r="CL435" s="24">
        <f t="shared" si="203"/>
        <v>0</v>
      </c>
      <c r="CM435" s="24">
        <f t="shared" si="203"/>
        <v>0</v>
      </c>
      <c r="CN435" s="24">
        <f t="shared" si="203"/>
        <v>1</v>
      </c>
      <c r="CO435" s="24">
        <f t="shared" si="203"/>
        <v>3</v>
      </c>
      <c r="CP435" s="24">
        <f t="shared" si="203"/>
        <v>0</v>
      </c>
      <c r="CQ435" s="24">
        <f t="shared" si="203"/>
        <v>0</v>
      </c>
      <c r="CR435" s="24">
        <f t="shared" si="203"/>
        <v>0</v>
      </c>
      <c r="CS435" s="24">
        <f t="shared" si="203"/>
        <v>1</v>
      </c>
      <c r="CT435" s="24">
        <f t="shared" si="203"/>
        <v>2</v>
      </c>
      <c r="CU435" s="24">
        <f t="shared" si="203"/>
        <v>0</v>
      </c>
      <c r="CV435" s="24">
        <f t="shared" si="203"/>
        <v>3</v>
      </c>
      <c r="CW435" s="24">
        <f t="shared" si="203"/>
        <v>0</v>
      </c>
      <c r="CX435" s="24">
        <f t="shared" si="203"/>
        <v>0</v>
      </c>
      <c r="CY435" s="24">
        <f t="shared" si="203"/>
        <v>1</v>
      </c>
      <c r="CZ435" s="24">
        <f t="shared" si="203"/>
        <v>1</v>
      </c>
      <c r="DA435" s="24">
        <f t="shared" si="203"/>
        <v>0</v>
      </c>
      <c r="DB435" s="24">
        <f t="shared" si="203"/>
        <v>6</v>
      </c>
      <c r="DC435" s="24">
        <f t="shared" si="203"/>
        <v>0</v>
      </c>
      <c r="DD435" s="24">
        <f t="shared" si="203"/>
        <v>0</v>
      </c>
      <c r="DE435" s="24">
        <f t="shared" si="203"/>
        <v>0</v>
      </c>
      <c r="DF435" s="24">
        <f t="shared" si="203"/>
        <v>0</v>
      </c>
      <c r="DG435" s="24">
        <f t="shared" si="203"/>
        <v>1</v>
      </c>
      <c r="DH435" s="24">
        <f t="shared" si="203"/>
        <v>0</v>
      </c>
      <c r="DI435" s="24">
        <f t="shared" si="203"/>
        <v>1</v>
      </c>
      <c r="DJ435" s="24">
        <f t="shared" si="203"/>
        <v>0</v>
      </c>
      <c r="DK435" s="24">
        <f t="shared" si="203"/>
        <v>0</v>
      </c>
      <c r="DL435" s="24">
        <f t="shared" si="203"/>
        <v>0</v>
      </c>
      <c r="DM435" s="24">
        <f t="shared" si="203"/>
        <v>3</v>
      </c>
      <c r="DN435" s="24">
        <f t="shared" si="203"/>
        <v>0</v>
      </c>
      <c r="DO435" s="24">
        <f t="shared" si="203"/>
        <v>2</v>
      </c>
      <c r="DP435" s="24">
        <f t="shared" si="203"/>
        <v>0</v>
      </c>
      <c r="DQ435" s="24">
        <f t="shared" si="203"/>
        <v>0</v>
      </c>
      <c r="DR435" s="24">
        <f t="shared" si="203"/>
        <v>0</v>
      </c>
      <c r="DS435" s="24">
        <f t="shared" si="203"/>
        <v>2</v>
      </c>
      <c r="DT435" s="24">
        <f t="shared" si="203"/>
        <v>1</v>
      </c>
      <c r="DU435" s="24">
        <f t="shared" si="203"/>
        <v>1</v>
      </c>
      <c r="DV435" s="18"/>
      <c r="DW435" s="48"/>
    </row>
    <row r="436" spans="1:129" customFormat="1">
      <c r="A436" s="210" t="s">
        <v>154</v>
      </c>
      <c r="B436" s="211"/>
      <c r="C436" s="8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30">
        <f>MEDIAN(S410:S433)</f>
        <v>46</v>
      </c>
      <c r="T436" s="10"/>
      <c r="U436" s="10"/>
      <c r="V436" s="10"/>
      <c r="W436" s="10"/>
      <c r="X436" s="5"/>
      <c r="Y436" s="10"/>
      <c r="Z436" s="8"/>
      <c r="AA436" s="10">
        <f>IF(ISERROR(MEDIAN(AA410:AA433)),"",MEDIAN(AA410:AA433))</f>
        <v>750076</v>
      </c>
      <c r="AB436" s="10"/>
      <c r="AC436" s="8"/>
      <c r="AD436" s="10"/>
      <c r="AE436" s="30"/>
      <c r="AF436" s="10"/>
      <c r="AG436" s="8"/>
      <c r="AH436" s="10"/>
      <c r="AI436" s="10">
        <f>IF(ISERROR(MEDIAN(AI410:AI433)),"",MEDIAN(AI410:AI433))</f>
        <v>132</v>
      </c>
      <c r="AJ436" s="5">
        <f>IF(ISERROR(MEDIAN(AJ410:AJ433)),"",MEDIAN(AJ410:AJ433))</f>
        <v>26</v>
      </c>
      <c r="AK436" s="10"/>
      <c r="AL436" s="8"/>
      <c r="AM436" s="10"/>
      <c r="AN436" s="30"/>
      <c r="AO436" s="10"/>
      <c r="AP436" s="10"/>
      <c r="AQ436" s="30"/>
      <c r="AR436" s="10"/>
      <c r="AS436" s="10"/>
      <c r="AT436" s="10"/>
      <c r="AU436" s="10"/>
      <c r="AV436" s="5"/>
      <c r="AW436" s="10"/>
      <c r="AX436" s="326"/>
      <c r="AY436" s="5"/>
      <c r="AZ436" s="10"/>
      <c r="BA436" s="8">
        <f>IF(ISERROR(MEDIAN(BA410:BA433)),"",MEDIAN(BA410:BA433))</f>
        <v>1713.5</v>
      </c>
      <c r="BB436" s="10"/>
      <c r="BC436" s="10"/>
      <c r="BD436" s="10"/>
      <c r="BE436" s="10"/>
      <c r="BF436" s="10"/>
      <c r="BG436" s="10"/>
      <c r="BH436" s="30"/>
      <c r="BI436" s="10"/>
      <c r="BJ436" s="338"/>
      <c r="BK436" s="338"/>
      <c r="BL436" s="303"/>
      <c r="BM436" s="5"/>
      <c r="BN436" s="10"/>
      <c r="BO436" s="8"/>
      <c r="BP436" s="5"/>
      <c r="BQ436" s="10"/>
      <c r="BR436" s="65"/>
      <c r="BS436" s="19"/>
      <c r="BT436" s="14"/>
      <c r="BU436" s="10"/>
      <c r="BV436" s="8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  <c r="DD436" s="10"/>
      <c r="DE436" s="10"/>
      <c r="DF436" s="10"/>
      <c r="DG436" s="10"/>
      <c r="DH436" s="10"/>
      <c r="DI436" s="10"/>
      <c r="DJ436" s="10"/>
      <c r="DK436" s="10"/>
      <c r="DL436" s="10"/>
      <c r="DM436" s="10"/>
      <c r="DN436" s="10"/>
      <c r="DO436" s="10"/>
      <c r="DP436" s="10"/>
      <c r="DQ436" s="10"/>
      <c r="DR436" s="10"/>
      <c r="DS436" s="10"/>
      <c r="DT436" s="10"/>
      <c r="DU436" s="10"/>
      <c r="DV436" s="5"/>
      <c r="DW436" s="21"/>
    </row>
    <row r="437" spans="1:129" customFormat="1" ht="12" thickBot="1">
      <c r="A437" s="214" t="s">
        <v>155</v>
      </c>
      <c r="B437" s="195"/>
      <c r="C437" s="41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32">
        <f>MODE(S410:S433)</f>
        <v>30</v>
      </c>
      <c r="T437" s="22"/>
      <c r="U437" s="22"/>
      <c r="V437" s="22"/>
      <c r="W437" s="22"/>
      <c r="X437" s="42"/>
      <c r="Y437" s="22"/>
      <c r="Z437" s="41"/>
      <c r="AA437" s="22"/>
      <c r="AB437" s="22"/>
      <c r="AC437" s="41"/>
      <c r="AD437" s="22"/>
      <c r="AE437" s="32"/>
      <c r="AF437" s="22"/>
      <c r="AG437" s="41"/>
      <c r="AH437" s="22"/>
      <c r="AI437" s="22">
        <f>IF(ISERROR(MODE(AI410:AI433)),"",MODE(AI410:AI433))</f>
        <v>144</v>
      </c>
      <c r="AJ437" s="42">
        <f>IF(ISERROR(MODE(AJ410:AJ433)),"",MODE(AJ410:AJ433))</f>
        <v>28</v>
      </c>
      <c r="AK437" s="22"/>
      <c r="AL437" s="41"/>
      <c r="AM437" s="22"/>
      <c r="AN437" s="32"/>
      <c r="AO437" s="22"/>
      <c r="AP437" s="22"/>
      <c r="AQ437" s="32"/>
      <c r="AR437" s="22"/>
      <c r="AS437" s="22"/>
      <c r="AT437" s="22"/>
      <c r="AU437" s="22"/>
      <c r="AV437" s="42"/>
      <c r="AW437" s="22"/>
      <c r="AX437" s="331"/>
      <c r="AY437" s="42"/>
      <c r="AZ437" s="22"/>
      <c r="BA437" s="41"/>
      <c r="BB437" s="22"/>
      <c r="BC437" s="22"/>
      <c r="BD437" s="22"/>
      <c r="BE437" s="22"/>
      <c r="BF437" s="22"/>
      <c r="BG437" s="22"/>
      <c r="BH437" s="32"/>
      <c r="BI437" s="22"/>
      <c r="BJ437" s="341"/>
      <c r="BK437" s="341"/>
      <c r="BL437" s="306"/>
      <c r="BM437" s="42"/>
      <c r="BN437" s="22"/>
      <c r="BO437" s="41"/>
      <c r="BP437" s="42"/>
      <c r="BQ437" s="22"/>
      <c r="BR437" s="66"/>
      <c r="BS437" s="51"/>
      <c r="BT437" s="67"/>
      <c r="BU437" s="22"/>
      <c r="BV437" s="41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2"/>
      <c r="CR437" s="22"/>
      <c r="CS437" s="22"/>
      <c r="CT437" s="22"/>
      <c r="CU437" s="22"/>
      <c r="CV437" s="22"/>
      <c r="CW437" s="22"/>
      <c r="CX437" s="22"/>
      <c r="CY437" s="22"/>
      <c r="CZ437" s="22"/>
      <c r="DA437" s="22"/>
      <c r="DB437" s="22"/>
      <c r="DC437" s="22"/>
      <c r="DD437" s="22"/>
      <c r="DE437" s="22"/>
      <c r="DF437" s="22"/>
      <c r="DG437" s="22"/>
      <c r="DH437" s="22"/>
      <c r="DI437" s="22"/>
      <c r="DJ437" s="22"/>
      <c r="DK437" s="22"/>
      <c r="DL437" s="22"/>
      <c r="DM437" s="22"/>
      <c r="DN437" s="22"/>
      <c r="DO437" s="22"/>
      <c r="DP437" s="22"/>
      <c r="DQ437" s="22"/>
      <c r="DR437" s="22"/>
      <c r="DS437" s="22"/>
      <c r="DT437" s="22"/>
      <c r="DU437" s="22"/>
      <c r="DV437" s="42"/>
      <c r="DW437" s="23"/>
    </row>
    <row r="438" spans="1:129" customFormat="1">
      <c r="A438" s="194" t="s">
        <v>182</v>
      </c>
      <c r="B438" s="194"/>
      <c r="C438" s="8">
        <f>COUNTA(C410:C433)</f>
        <v>24</v>
      </c>
      <c r="D438" s="10"/>
      <c r="E438" s="10"/>
      <c r="F438" s="10">
        <f>SUM(C434:F434)</f>
        <v>443</v>
      </c>
      <c r="G438" s="98">
        <f>G434/F438</f>
        <v>7.4492099322799099E-2</v>
      </c>
      <c r="H438" s="104">
        <f>H434/S434</f>
        <v>1.8018018018018018E-2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30"/>
      <c r="T438" s="10"/>
      <c r="U438" s="97">
        <f>U434/S434</f>
        <v>0.24414414414414415</v>
      </c>
      <c r="V438" s="97"/>
      <c r="W438" s="10"/>
      <c r="X438" s="5"/>
      <c r="Y438" s="10"/>
      <c r="Z438" s="8"/>
      <c r="AA438" s="10"/>
      <c r="AB438" s="10"/>
      <c r="AC438" s="8"/>
      <c r="AD438" s="10"/>
      <c r="AE438" s="30"/>
      <c r="AF438" s="10"/>
      <c r="AG438" s="8"/>
      <c r="AH438" s="10"/>
      <c r="AI438" s="10"/>
      <c r="AJ438" s="5"/>
      <c r="AK438" s="10"/>
      <c r="AL438" s="8"/>
      <c r="AM438" s="10"/>
      <c r="AN438" s="30"/>
      <c r="AO438" s="10"/>
      <c r="AP438" s="10"/>
      <c r="AQ438" s="30"/>
      <c r="AR438" s="10"/>
      <c r="AS438" s="10"/>
      <c r="AT438" s="10"/>
      <c r="AU438" s="10"/>
      <c r="AV438" s="5"/>
      <c r="AW438" s="10"/>
      <c r="AX438" s="326"/>
      <c r="AY438" s="5"/>
      <c r="AZ438" s="10"/>
      <c r="BA438" s="8"/>
      <c r="BB438" s="10"/>
      <c r="BC438" s="10"/>
      <c r="BD438" s="10"/>
      <c r="BE438" s="10"/>
      <c r="BF438" s="10"/>
      <c r="BG438" s="10"/>
      <c r="BH438" s="30"/>
      <c r="BI438" s="10"/>
      <c r="BJ438" s="338"/>
      <c r="BK438" s="338"/>
      <c r="BL438" s="303"/>
      <c r="BM438" s="5"/>
      <c r="BN438" s="10"/>
      <c r="BO438" s="8"/>
      <c r="BP438" s="5"/>
      <c r="BQ438" s="10"/>
      <c r="BR438" s="65"/>
      <c r="BS438" s="19"/>
      <c r="BT438" s="14"/>
      <c r="BU438" s="10"/>
      <c r="BV438" s="8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  <c r="DD438" s="10"/>
      <c r="DE438" s="10"/>
      <c r="DF438" s="10"/>
      <c r="DG438" s="10"/>
      <c r="DH438" s="10"/>
      <c r="DI438" s="10"/>
      <c r="DJ438" s="10"/>
      <c r="DK438" s="10"/>
      <c r="DL438" s="10"/>
      <c r="DM438" s="10"/>
      <c r="DN438" s="10"/>
      <c r="DO438" s="10"/>
      <c r="DP438" s="10"/>
      <c r="DQ438" s="10"/>
      <c r="DR438" s="10"/>
      <c r="DS438" s="10"/>
      <c r="DT438" s="10"/>
      <c r="DU438" s="10"/>
      <c r="DV438" s="5"/>
      <c r="DW438" s="10"/>
    </row>
    <row r="439" spans="1:129" customFormat="1">
      <c r="A439" s="194"/>
      <c r="B439" s="194"/>
      <c r="C439" s="8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30"/>
      <c r="T439" s="10"/>
      <c r="U439" s="1"/>
      <c r="V439" s="1"/>
      <c r="W439" s="10"/>
      <c r="X439" s="5"/>
      <c r="Z439" s="8"/>
      <c r="AA439" s="10"/>
      <c r="AB439" s="10"/>
      <c r="AC439" s="8"/>
      <c r="AD439" s="10"/>
      <c r="AE439" s="30"/>
      <c r="AG439" s="8"/>
      <c r="AH439" s="10"/>
      <c r="AI439" s="10"/>
      <c r="AJ439" s="5"/>
      <c r="AL439" s="8"/>
      <c r="AM439" s="10"/>
      <c r="AN439" s="30"/>
      <c r="AO439" s="10"/>
      <c r="AP439" s="10"/>
      <c r="AQ439" s="30"/>
      <c r="AR439" s="10"/>
      <c r="AS439" s="10"/>
      <c r="AT439" s="10"/>
      <c r="AU439" s="10"/>
      <c r="AV439" s="5"/>
      <c r="AX439" s="326"/>
      <c r="AY439" s="5"/>
      <c r="AZ439" s="324"/>
      <c r="BA439" s="8"/>
      <c r="BB439" s="10"/>
      <c r="BC439" s="10"/>
      <c r="BD439" s="10"/>
      <c r="BE439" s="10"/>
      <c r="BF439" s="10"/>
      <c r="BG439" s="10"/>
      <c r="BH439" s="30"/>
      <c r="BI439" s="10"/>
      <c r="BJ439" s="338"/>
      <c r="BK439" s="338"/>
      <c r="BL439" s="303"/>
      <c r="BM439" s="5"/>
      <c r="BO439" s="8"/>
      <c r="BP439" s="5"/>
      <c r="BR439" s="65"/>
      <c r="BS439" s="19"/>
      <c r="BT439" s="14"/>
      <c r="BV439" s="8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  <c r="DD439" s="10"/>
      <c r="DE439" s="10"/>
      <c r="DF439" s="10"/>
      <c r="DG439" s="10"/>
      <c r="DH439" s="10"/>
      <c r="DI439" s="10"/>
      <c r="DJ439" s="10"/>
      <c r="DK439" s="10"/>
      <c r="DL439" s="10"/>
      <c r="DM439" s="10"/>
      <c r="DN439" s="10"/>
      <c r="DO439" s="10"/>
      <c r="DP439" s="10"/>
      <c r="DQ439" s="10"/>
      <c r="DR439" s="10"/>
      <c r="DS439" s="10"/>
      <c r="DT439" s="10"/>
      <c r="DU439" s="10"/>
      <c r="DV439" s="5"/>
    </row>
    <row r="440" spans="1:129" customFormat="1" ht="12" thickBot="1">
      <c r="A440" s="194"/>
      <c r="B440" s="194"/>
      <c r="C440" s="8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30"/>
      <c r="T440" s="10"/>
      <c r="U440" s="97"/>
      <c r="V440" s="97"/>
      <c r="W440" s="10"/>
      <c r="X440" s="5"/>
      <c r="Z440" s="8"/>
      <c r="AA440" s="10"/>
      <c r="AB440" s="10"/>
      <c r="AC440" s="8"/>
      <c r="AD440" s="10"/>
      <c r="AE440" s="30"/>
      <c r="AG440" s="8"/>
      <c r="AH440" s="10"/>
      <c r="AI440" s="10"/>
      <c r="AJ440" s="5"/>
      <c r="AL440" s="8"/>
      <c r="AM440" s="10"/>
      <c r="AN440" s="30"/>
      <c r="AO440" s="10"/>
      <c r="AP440" s="10"/>
      <c r="AQ440" s="30"/>
      <c r="AR440" s="10"/>
      <c r="AS440" s="10"/>
      <c r="AT440" s="10"/>
      <c r="AU440" s="10"/>
      <c r="AV440" s="5"/>
      <c r="AX440" s="326"/>
      <c r="AY440" s="5"/>
      <c r="AZ440" s="324"/>
      <c r="BA440" s="8"/>
      <c r="BB440" s="10"/>
      <c r="BC440" s="10"/>
      <c r="BD440" s="10"/>
      <c r="BE440" s="10"/>
      <c r="BF440" s="10"/>
      <c r="BG440" s="10"/>
      <c r="BH440" s="30"/>
      <c r="BI440" s="10"/>
      <c r="BJ440" s="338"/>
      <c r="BK440" s="338"/>
      <c r="BL440" s="303"/>
      <c r="BM440" s="5"/>
      <c r="BO440" s="8"/>
      <c r="BP440" s="5"/>
      <c r="BR440" s="65"/>
      <c r="BS440" s="19"/>
      <c r="BT440" s="14"/>
      <c r="BV440" s="8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  <c r="DF440" s="10"/>
      <c r="DG440" s="10"/>
      <c r="DH440" s="10"/>
      <c r="DI440" s="10"/>
      <c r="DJ440" s="10"/>
      <c r="DK440" s="10"/>
      <c r="DL440" s="10"/>
      <c r="DM440" s="10"/>
      <c r="DN440" s="10"/>
      <c r="DO440" s="10"/>
      <c r="DP440" s="10"/>
      <c r="DQ440" s="10"/>
      <c r="DR440" s="10"/>
      <c r="DS440" s="10"/>
      <c r="DT440" s="10"/>
      <c r="DU440" s="10"/>
      <c r="DV440" s="5"/>
    </row>
    <row r="441" spans="1:129" customFormat="1">
      <c r="A441" s="208">
        <v>37438</v>
      </c>
      <c r="B441" s="209"/>
      <c r="C441" s="36">
        <v>6</v>
      </c>
      <c r="D441" s="9">
        <v>25</v>
      </c>
      <c r="E441" s="9">
        <v>0</v>
      </c>
      <c r="F441" s="9">
        <v>1</v>
      </c>
      <c r="G441" s="9">
        <v>3</v>
      </c>
      <c r="H441" s="9">
        <v>1</v>
      </c>
      <c r="I441" s="9">
        <v>0</v>
      </c>
      <c r="J441" s="9">
        <v>53</v>
      </c>
      <c r="K441" s="9">
        <v>0</v>
      </c>
      <c r="L441" s="9">
        <v>0</v>
      </c>
      <c r="M441" s="9">
        <v>0</v>
      </c>
      <c r="N441" s="9">
        <v>0</v>
      </c>
      <c r="O441" s="9">
        <v>2</v>
      </c>
      <c r="P441" s="9">
        <v>2</v>
      </c>
      <c r="Q441" s="9">
        <v>3</v>
      </c>
      <c r="R441" s="9">
        <v>0</v>
      </c>
      <c r="S441" s="33">
        <f>SUM(C441:R441)</f>
        <v>96</v>
      </c>
      <c r="T441" s="9"/>
      <c r="U441" s="9">
        <v>30</v>
      </c>
      <c r="V441" s="9"/>
      <c r="W441" s="9">
        <v>6</v>
      </c>
      <c r="X441" s="37">
        <v>0</v>
      </c>
      <c r="Y441" s="9"/>
      <c r="Z441" s="36">
        <v>1451520</v>
      </c>
      <c r="AA441" s="9"/>
      <c r="AB441" s="9"/>
      <c r="AC441" s="36">
        <v>2289895</v>
      </c>
      <c r="AD441" s="9"/>
      <c r="AE441" s="33">
        <f t="shared" ref="AE441:AE464" si="204">SUM(AC441:AD441)</f>
        <v>2289895</v>
      </c>
      <c r="AF441" s="9"/>
      <c r="AG441" s="36">
        <v>149</v>
      </c>
      <c r="AH441" s="9">
        <v>1</v>
      </c>
      <c r="AI441" s="9">
        <v>168</v>
      </c>
      <c r="AJ441" s="37"/>
      <c r="AK441" s="9"/>
      <c r="AL441" s="36">
        <v>34</v>
      </c>
      <c r="AM441" s="9">
        <v>51</v>
      </c>
      <c r="AN441" s="33">
        <f>SUM(AL441:AM441)</f>
        <v>85</v>
      </c>
      <c r="AO441" s="280"/>
      <c r="AP441" s="280"/>
      <c r="AQ441" s="282"/>
      <c r="AR441" s="92">
        <v>160</v>
      </c>
      <c r="AS441" s="92"/>
      <c r="AT441" s="92"/>
      <c r="AU441" s="92"/>
      <c r="AV441" s="93"/>
      <c r="AW441" s="9"/>
      <c r="AX441" s="325"/>
      <c r="AY441" s="37"/>
      <c r="AZ441" s="9"/>
      <c r="BA441" s="91">
        <v>1725</v>
      </c>
      <c r="BB441" s="92">
        <v>32237565</v>
      </c>
      <c r="BC441" s="92"/>
      <c r="BD441" s="92"/>
      <c r="BE441" s="92">
        <v>119</v>
      </c>
      <c r="BF441" s="92">
        <v>5</v>
      </c>
      <c r="BG441" s="92">
        <v>2</v>
      </c>
      <c r="BH441" s="352"/>
      <c r="BI441" s="92">
        <v>2464732</v>
      </c>
      <c r="BJ441" s="343">
        <v>37447</v>
      </c>
      <c r="BK441" s="343">
        <v>37517</v>
      </c>
      <c r="BL441" s="319">
        <f>BK441-BJ441</f>
        <v>70</v>
      </c>
      <c r="BM441" s="37"/>
      <c r="BN441" s="9"/>
      <c r="BO441" s="36"/>
      <c r="BP441" s="93">
        <v>156</v>
      </c>
      <c r="BQ441" s="9"/>
      <c r="BR441" s="74">
        <v>2003</v>
      </c>
      <c r="BS441" s="75">
        <v>2002</v>
      </c>
      <c r="BT441" s="13">
        <v>13</v>
      </c>
      <c r="BU441" s="9"/>
      <c r="BV441" s="36">
        <v>5</v>
      </c>
      <c r="BW441" s="9">
        <v>0</v>
      </c>
      <c r="BX441" s="9">
        <v>0</v>
      </c>
      <c r="BY441" s="9"/>
      <c r="BZ441" s="9"/>
      <c r="CA441" s="9"/>
      <c r="CB441" s="9"/>
      <c r="CC441" s="223"/>
      <c r="CD441" s="9">
        <v>22</v>
      </c>
      <c r="CE441" s="220">
        <v>0</v>
      </c>
      <c r="CF441" s="9">
        <v>10</v>
      </c>
      <c r="CG441" s="9">
        <v>0</v>
      </c>
      <c r="CH441" s="9"/>
      <c r="CI441" s="9">
        <v>0</v>
      </c>
      <c r="CJ441" s="9">
        <v>18</v>
      </c>
      <c r="CK441" s="9"/>
      <c r="CL441" s="9"/>
      <c r="CM441" s="9">
        <v>0</v>
      </c>
      <c r="CN441" s="9"/>
      <c r="CO441" s="9">
        <v>6</v>
      </c>
      <c r="CP441" s="220"/>
      <c r="CQ441" s="9"/>
      <c r="CR441" s="9"/>
      <c r="CS441" s="9">
        <v>14</v>
      </c>
      <c r="CT441" s="9">
        <v>3</v>
      </c>
      <c r="CU441" s="9">
        <v>0</v>
      </c>
      <c r="CV441" s="9">
        <v>1</v>
      </c>
      <c r="CW441" s="9"/>
      <c r="CX441" s="9"/>
      <c r="CY441" s="9">
        <v>4</v>
      </c>
      <c r="CZ441" s="9"/>
      <c r="DA441" s="9"/>
      <c r="DB441" s="9">
        <v>7</v>
      </c>
      <c r="DC441" s="9"/>
      <c r="DD441" s="9"/>
      <c r="DE441" s="9"/>
      <c r="DF441" s="9"/>
      <c r="DG441" s="9">
        <v>6</v>
      </c>
      <c r="DH441" s="9">
        <v>0</v>
      </c>
      <c r="DI441" s="9">
        <v>0</v>
      </c>
      <c r="DJ441" s="9">
        <v>0</v>
      </c>
      <c r="DK441" s="9"/>
      <c r="DL441" s="9"/>
      <c r="DM441" s="9">
        <v>0</v>
      </c>
      <c r="DN441" s="9"/>
      <c r="DO441" s="9">
        <v>0</v>
      </c>
      <c r="DP441" s="9"/>
      <c r="DQ441" s="9"/>
      <c r="DR441" s="9"/>
      <c r="DS441" s="9">
        <v>0</v>
      </c>
      <c r="DT441" s="9">
        <v>0</v>
      </c>
      <c r="DU441" s="9">
        <v>0</v>
      </c>
      <c r="DV441" s="44">
        <f t="shared" ref="DV441:DV465" si="205">SUM(BV441:DU441)</f>
        <v>96</v>
      </c>
      <c r="DW441" s="13" t="str">
        <f t="shared" ref="DW441:DW464" si="206">IF(DV441=S441,"","PROB")</f>
        <v/>
      </c>
      <c r="DX441" s="369"/>
      <c r="DY441" s="369">
        <f>S441</f>
        <v>96</v>
      </c>
    </row>
    <row r="442" spans="1:129" customFormat="1">
      <c r="A442" s="210">
        <v>37452</v>
      </c>
      <c r="B442" s="211"/>
      <c r="C442" s="8">
        <v>1</v>
      </c>
      <c r="D442" s="10">
        <v>21</v>
      </c>
      <c r="E442" s="10">
        <v>1</v>
      </c>
      <c r="F442" s="59">
        <v>0</v>
      </c>
      <c r="G442" s="59">
        <v>1</v>
      </c>
      <c r="H442" s="59">
        <v>8</v>
      </c>
      <c r="I442" s="59">
        <v>0</v>
      </c>
      <c r="J442" s="59">
        <v>39</v>
      </c>
      <c r="K442" s="59">
        <v>0</v>
      </c>
      <c r="L442" s="59">
        <v>2</v>
      </c>
      <c r="M442" s="59">
        <v>0</v>
      </c>
      <c r="N442" s="59">
        <v>0</v>
      </c>
      <c r="O442" s="59">
        <v>8</v>
      </c>
      <c r="P442" s="59">
        <v>0</v>
      </c>
      <c r="Q442" s="59">
        <v>0</v>
      </c>
      <c r="R442" s="59">
        <v>0</v>
      </c>
      <c r="S442" s="35">
        <f>SUM(C442:R442)</f>
        <v>81</v>
      </c>
      <c r="T442" s="59"/>
      <c r="U442" s="59">
        <v>21</v>
      </c>
      <c r="V442" s="59"/>
      <c r="W442" s="59">
        <v>0</v>
      </c>
      <c r="X442" s="5">
        <v>0</v>
      </c>
      <c r="Y442" s="10"/>
      <c r="Z442" s="61">
        <v>1085440</v>
      </c>
      <c r="AA442" s="59"/>
      <c r="AB442" s="59"/>
      <c r="AC442" s="61">
        <v>825473</v>
      </c>
      <c r="AD442" s="59"/>
      <c r="AE442" s="35">
        <f t="shared" si="204"/>
        <v>825473</v>
      </c>
      <c r="AF442" s="10"/>
      <c r="AG442" s="8">
        <v>109</v>
      </c>
      <c r="AH442" s="59">
        <v>1</v>
      </c>
      <c r="AI442" s="59">
        <v>126</v>
      </c>
      <c r="AJ442" s="5"/>
      <c r="AK442" s="10"/>
      <c r="AL442" s="8"/>
      <c r="AM442" s="10"/>
      <c r="AN442" s="35"/>
      <c r="AO442" s="279"/>
      <c r="AP442" s="279"/>
      <c r="AQ442" s="281"/>
      <c r="AR442" s="59">
        <v>159</v>
      </c>
      <c r="AS442" s="59"/>
      <c r="AT442" s="59"/>
      <c r="AU442" s="59"/>
      <c r="AV442" s="62"/>
      <c r="AW442" s="10"/>
      <c r="AX442" s="326"/>
      <c r="AY442" s="5"/>
      <c r="AZ442" s="10"/>
      <c r="BA442" s="61"/>
      <c r="BB442" s="10"/>
      <c r="BC442" s="10"/>
      <c r="BD442" s="10"/>
      <c r="BE442" s="10"/>
      <c r="BF442" s="10"/>
      <c r="BG442" s="10"/>
      <c r="BH442" s="30"/>
      <c r="BI442" s="10"/>
      <c r="BJ442" s="338"/>
      <c r="BK442" s="342"/>
      <c r="BL442" s="320"/>
      <c r="BM442" s="5"/>
      <c r="BN442" s="10"/>
      <c r="BO442" s="8"/>
      <c r="BP442" s="62"/>
      <c r="BQ442" s="10"/>
      <c r="BR442" s="29">
        <v>2003</v>
      </c>
      <c r="BS442" s="64">
        <v>2002</v>
      </c>
      <c r="BT442" s="14">
        <v>14</v>
      </c>
      <c r="BU442" s="10"/>
      <c r="BV442" s="8">
        <v>3</v>
      </c>
      <c r="BW442" s="10">
        <v>0</v>
      </c>
      <c r="BX442" s="59">
        <v>0</v>
      </c>
      <c r="BY442" s="59"/>
      <c r="BZ442" s="59"/>
      <c r="CA442" s="59"/>
      <c r="CB442" s="59"/>
      <c r="CC442" s="221"/>
      <c r="CD442" s="59">
        <v>4</v>
      </c>
      <c r="CE442" s="317">
        <v>0</v>
      </c>
      <c r="CF442" s="59">
        <v>0</v>
      </c>
      <c r="CG442" s="59">
        <v>2</v>
      </c>
      <c r="CH442" s="59"/>
      <c r="CI442" s="59">
        <v>0</v>
      </c>
      <c r="CJ442" s="59">
        <v>6</v>
      </c>
      <c r="CK442" s="59"/>
      <c r="CL442" s="59"/>
      <c r="CM442" s="59">
        <v>1</v>
      </c>
      <c r="CN442" s="59"/>
      <c r="CO442" s="59">
        <v>5</v>
      </c>
      <c r="CP442" s="317"/>
      <c r="CQ442" s="59"/>
      <c r="CR442" s="59"/>
      <c r="CS442" s="59">
        <v>0</v>
      </c>
      <c r="CT442" s="59">
        <v>2</v>
      </c>
      <c r="CU442" s="59">
        <v>0</v>
      </c>
      <c r="CV442" s="59">
        <v>0</v>
      </c>
      <c r="CW442" s="59"/>
      <c r="CX442" s="59"/>
      <c r="CY442" s="59">
        <v>0</v>
      </c>
      <c r="CZ442" s="59"/>
      <c r="DA442" s="59"/>
      <c r="DB442" s="59">
        <v>20</v>
      </c>
      <c r="DC442" s="59"/>
      <c r="DD442" s="59"/>
      <c r="DE442" s="59"/>
      <c r="DF442" s="59"/>
      <c r="DG442" s="59">
        <v>8</v>
      </c>
      <c r="DH442" s="59">
        <v>0</v>
      </c>
      <c r="DI442" s="59">
        <v>3</v>
      </c>
      <c r="DJ442" s="59">
        <v>12</v>
      </c>
      <c r="DK442" s="59"/>
      <c r="DL442" s="59"/>
      <c r="DM442" s="59">
        <v>0</v>
      </c>
      <c r="DN442" s="59"/>
      <c r="DO442" s="59">
        <v>7</v>
      </c>
      <c r="DP442" s="59"/>
      <c r="DQ442" s="59"/>
      <c r="DR442" s="59"/>
      <c r="DS442" s="59">
        <v>7</v>
      </c>
      <c r="DT442" s="59">
        <v>1</v>
      </c>
      <c r="DU442" s="59">
        <v>0</v>
      </c>
      <c r="DV442" s="38">
        <f t="shared" si="205"/>
        <v>81</v>
      </c>
      <c r="DW442" s="14" t="str">
        <f t="shared" si="206"/>
        <v/>
      </c>
      <c r="DX442" s="369"/>
      <c r="DY442" s="369">
        <f>S442</f>
        <v>81</v>
      </c>
    </row>
    <row r="443" spans="1:129" customFormat="1">
      <c r="A443" s="210">
        <v>37469</v>
      </c>
      <c r="B443" s="211"/>
      <c r="C443" s="8">
        <v>3</v>
      </c>
      <c r="D443" s="10">
        <v>9</v>
      </c>
      <c r="E443" s="10">
        <v>18</v>
      </c>
      <c r="F443" s="59">
        <v>1</v>
      </c>
      <c r="G443" s="59">
        <v>4</v>
      </c>
      <c r="H443" s="59">
        <v>0</v>
      </c>
      <c r="I443" s="59">
        <v>0</v>
      </c>
      <c r="J443" s="59">
        <v>9</v>
      </c>
      <c r="K443" s="59">
        <v>1</v>
      </c>
      <c r="L443" s="59">
        <v>0</v>
      </c>
      <c r="M443" s="59">
        <v>0</v>
      </c>
      <c r="N443" s="59">
        <v>0</v>
      </c>
      <c r="O443" s="59">
        <v>3</v>
      </c>
      <c r="P443" s="59">
        <v>0</v>
      </c>
      <c r="Q443" s="59">
        <v>0</v>
      </c>
      <c r="R443" s="59">
        <v>0</v>
      </c>
      <c r="S443" s="35">
        <f>SUM(C443:R443)</f>
        <v>48</v>
      </c>
      <c r="T443" s="59"/>
      <c r="U443" s="59">
        <v>8</v>
      </c>
      <c r="V443" s="59"/>
      <c r="W443" s="59">
        <v>0</v>
      </c>
      <c r="X443" s="5">
        <v>0</v>
      </c>
      <c r="Y443" s="10"/>
      <c r="Z443" s="61">
        <v>927444</v>
      </c>
      <c r="AA443" s="59"/>
      <c r="AB443" s="59"/>
      <c r="AC443" s="61">
        <v>829913</v>
      </c>
      <c r="AD443" s="59"/>
      <c r="AE443" s="35">
        <f t="shared" si="204"/>
        <v>829913</v>
      </c>
      <c r="AF443" s="10"/>
      <c r="AG443" s="8">
        <v>92</v>
      </c>
      <c r="AH443" s="59">
        <v>1</v>
      </c>
      <c r="AI443" s="59">
        <v>110</v>
      </c>
      <c r="AJ443" s="5"/>
      <c r="AK443" s="10"/>
      <c r="AL443" s="8"/>
      <c r="AM443" s="10"/>
      <c r="AN443" s="35"/>
      <c r="AO443" s="279"/>
      <c r="AP443" s="279"/>
      <c r="AQ443" s="281"/>
      <c r="AR443" s="59">
        <v>157</v>
      </c>
      <c r="AS443" s="59"/>
      <c r="AT443" s="59"/>
      <c r="AU443" s="59"/>
      <c r="AV443" s="62"/>
      <c r="AW443" s="10"/>
      <c r="AX443" s="326"/>
      <c r="AY443" s="5"/>
      <c r="AZ443" s="10"/>
      <c r="BA443" s="61">
        <v>1723</v>
      </c>
      <c r="BB443" s="59">
        <v>32247751</v>
      </c>
      <c r="BC443" s="10"/>
      <c r="BD443" s="10"/>
      <c r="BE443" s="59">
        <v>80</v>
      </c>
      <c r="BF443" s="59">
        <v>1</v>
      </c>
      <c r="BG443" s="59">
        <v>2</v>
      </c>
      <c r="BH443" s="351"/>
      <c r="BI443" s="59">
        <v>2258982</v>
      </c>
      <c r="BJ443" s="342">
        <v>37478</v>
      </c>
      <c r="BK443" s="342">
        <v>37578</v>
      </c>
      <c r="BL443" s="320">
        <f>BK443-BJ443</f>
        <v>100</v>
      </c>
      <c r="BM443" s="5"/>
      <c r="BN443" s="10"/>
      <c r="BO443" s="8"/>
      <c r="BP443" s="62">
        <v>156</v>
      </c>
      <c r="BQ443" s="10"/>
      <c r="BR443" s="29">
        <v>2003</v>
      </c>
      <c r="BS443" s="64">
        <v>2002</v>
      </c>
      <c r="BT443" s="14">
        <v>15</v>
      </c>
      <c r="BU443" s="10"/>
      <c r="BV443" s="8">
        <v>2</v>
      </c>
      <c r="BW443" s="10">
        <v>0</v>
      </c>
      <c r="BX443" s="59">
        <v>0</v>
      </c>
      <c r="BY443" s="59"/>
      <c r="BZ443" s="59"/>
      <c r="CA443" s="59"/>
      <c r="CB443" s="59"/>
      <c r="CC443" s="221"/>
      <c r="CD443" s="59">
        <v>6</v>
      </c>
      <c r="CE443" s="317">
        <v>0</v>
      </c>
      <c r="CF443" s="59">
        <v>0</v>
      </c>
      <c r="CG443" s="59">
        <v>0</v>
      </c>
      <c r="CH443" s="59"/>
      <c r="CI443" s="59">
        <v>17</v>
      </c>
      <c r="CJ443" s="59">
        <v>3</v>
      </c>
      <c r="CK443" s="59"/>
      <c r="CL443" s="59"/>
      <c r="CM443" s="59">
        <v>0</v>
      </c>
      <c r="CN443" s="59"/>
      <c r="CO443" s="59">
        <v>6</v>
      </c>
      <c r="CP443" s="317"/>
      <c r="CQ443" s="59"/>
      <c r="CR443" s="59"/>
      <c r="CS443" s="59">
        <v>0</v>
      </c>
      <c r="CT443" s="59">
        <v>2</v>
      </c>
      <c r="CU443" s="59">
        <v>0</v>
      </c>
      <c r="CV443" s="59">
        <v>4</v>
      </c>
      <c r="CW443" s="59"/>
      <c r="CX443" s="59"/>
      <c r="CY443" s="59">
        <v>1</v>
      </c>
      <c r="CZ443" s="59"/>
      <c r="DA443" s="59"/>
      <c r="DB443" s="59">
        <v>4</v>
      </c>
      <c r="DC443" s="59"/>
      <c r="DD443" s="59"/>
      <c r="DE443" s="59"/>
      <c r="DF443" s="59"/>
      <c r="DG443" s="59">
        <v>0</v>
      </c>
      <c r="DH443" s="59">
        <v>0</v>
      </c>
      <c r="DI443" s="59">
        <v>0</v>
      </c>
      <c r="DJ443" s="59">
        <v>0</v>
      </c>
      <c r="DK443" s="59"/>
      <c r="DL443" s="59"/>
      <c r="DM443" s="59">
        <v>0</v>
      </c>
      <c r="DN443" s="59"/>
      <c r="DO443" s="59">
        <v>0</v>
      </c>
      <c r="DP443" s="59"/>
      <c r="DQ443" s="59"/>
      <c r="DR443" s="59"/>
      <c r="DS443" s="59">
        <v>2</v>
      </c>
      <c r="DT443" s="59">
        <v>1</v>
      </c>
      <c r="DU443" s="59">
        <v>0</v>
      </c>
      <c r="DV443" s="38">
        <f t="shared" si="205"/>
        <v>48</v>
      </c>
      <c r="DW443" s="14" t="str">
        <f t="shared" si="206"/>
        <v/>
      </c>
      <c r="DX443" s="369"/>
      <c r="DY443" s="369">
        <f>S443</f>
        <v>48</v>
      </c>
    </row>
    <row r="444" spans="1:129" customFormat="1">
      <c r="A444" s="210">
        <v>37483</v>
      </c>
      <c r="B444" s="211"/>
      <c r="C444" s="61">
        <v>0</v>
      </c>
      <c r="D444" s="59">
        <v>8</v>
      </c>
      <c r="E444" s="59">
        <v>1</v>
      </c>
      <c r="F444" s="59">
        <v>1</v>
      </c>
      <c r="G444" s="59">
        <v>3</v>
      </c>
      <c r="H444" s="59">
        <v>2</v>
      </c>
      <c r="I444" s="59">
        <v>0</v>
      </c>
      <c r="J444" s="59">
        <v>12</v>
      </c>
      <c r="K444" s="59">
        <v>0</v>
      </c>
      <c r="L444" s="59">
        <v>0</v>
      </c>
      <c r="M444" s="59">
        <v>0</v>
      </c>
      <c r="N444" s="59">
        <v>0</v>
      </c>
      <c r="O444" s="59">
        <v>4</v>
      </c>
      <c r="P444" s="59">
        <v>0</v>
      </c>
      <c r="Q444" s="59">
        <v>0</v>
      </c>
      <c r="R444" s="59">
        <v>0</v>
      </c>
      <c r="S444" s="35">
        <f>SUM(C444:R444)</f>
        <v>31</v>
      </c>
      <c r="T444" s="59"/>
      <c r="U444" s="59">
        <v>11</v>
      </c>
      <c r="V444" s="59"/>
      <c r="W444" s="59">
        <v>0</v>
      </c>
      <c r="X444" s="62">
        <v>0</v>
      </c>
      <c r="Y444" s="59"/>
      <c r="Z444" s="61">
        <v>2947072</v>
      </c>
      <c r="AA444" s="59"/>
      <c r="AB444" s="59"/>
      <c r="AC444" s="61">
        <v>698985</v>
      </c>
      <c r="AD444" s="59"/>
      <c r="AE444" s="35">
        <f t="shared" si="204"/>
        <v>698985</v>
      </c>
      <c r="AF444" s="10"/>
      <c r="AG444" s="61">
        <v>60</v>
      </c>
      <c r="AH444" s="59">
        <v>83</v>
      </c>
      <c r="AI444" s="59">
        <v>164</v>
      </c>
      <c r="AJ444" s="5"/>
      <c r="AK444" s="10"/>
      <c r="AL444" s="8"/>
      <c r="AM444" s="10"/>
      <c r="AN444" s="35"/>
      <c r="AO444" s="279"/>
      <c r="AP444" s="279"/>
      <c r="AQ444" s="281"/>
      <c r="AR444" s="59">
        <v>158</v>
      </c>
      <c r="AS444" s="59"/>
      <c r="AT444" s="59"/>
      <c r="AU444" s="59"/>
      <c r="AV444" s="62"/>
      <c r="AW444" s="10"/>
      <c r="AX444" s="326"/>
      <c r="AY444" s="5"/>
      <c r="AZ444" s="10"/>
      <c r="BA444" s="61"/>
      <c r="BB444" s="10"/>
      <c r="BC444" s="10"/>
      <c r="BD444" s="10"/>
      <c r="BE444" s="10"/>
      <c r="BF444" s="10"/>
      <c r="BG444" s="10"/>
      <c r="BH444" s="30"/>
      <c r="BI444" s="10"/>
      <c r="BJ444" s="338"/>
      <c r="BK444" s="342"/>
      <c r="BL444" s="320"/>
      <c r="BM444" s="5"/>
      <c r="BN444" s="10"/>
      <c r="BO444" s="8"/>
      <c r="BP444" s="5"/>
      <c r="BQ444" s="10"/>
      <c r="BR444" s="29">
        <v>2003</v>
      </c>
      <c r="BS444" s="64">
        <v>2002</v>
      </c>
      <c r="BT444" s="14">
        <v>16</v>
      </c>
      <c r="BU444" s="10"/>
      <c r="BV444" s="8">
        <v>3</v>
      </c>
      <c r="BW444" s="59">
        <v>0</v>
      </c>
      <c r="BX444" s="59">
        <v>0</v>
      </c>
      <c r="BY444" s="59"/>
      <c r="BZ444" s="59"/>
      <c r="CA444" s="59"/>
      <c r="CB444" s="59"/>
      <c r="CC444" s="221"/>
      <c r="CD444" s="59">
        <v>5</v>
      </c>
      <c r="CE444" s="317">
        <v>0</v>
      </c>
      <c r="CF444" s="59">
        <v>0</v>
      </c>
      <c r="CG444" s="59">
        <v>0</v>
      </c>
      <c r="CH444" s="59"/>
      <c r="CI444" s="59">
        <v>0</v>
      </c>
      <c r="CJ444" s="59">
        <v>5</v>
      </c>
      <c r="CK444" s="59"/>
      <c r="CL444" s="59"/>
      <c r="CM444" s="59">
        <v>6</v>
      </c>
      <c r="CN444" s="59"/>
      <c r="CO444" s="59">
        <v>1</v>
      </c>
      <c r="CP444" s="317"/>
      <c r="CQ444" s="59"/>
      <c r="CR444" s="59"/>
      <c r="CS444" s="59">
        <v>0</v>
      </c>
      <c r="CT444" s="59">
        <v>0</v>
      </c>
      <c r="CU444" s="59">
        <v>0</v>
      </c>
      <c r="CV444" s="59">
        <v>2</v>
      </c>
      <c r="CW444" s="59"/>
      <c r="CX444" s="59"/>
      <c r="CY444" s="59">
        <v>0</v>
      </c>
      <c r="CZ444" s="59"/>
      <c r="DA444" s="59"/>
      <c r="DB444" s="59">
        <v>2</v>
      </c>
      <c r="DC444" s="59"/>
      <c r="DD444" s="59"/>
      <c r="DE444" s="59"/>
      <c r="DF444" s="59"/>
      <c r="DG444" s="59">
        <v>3</v>
      </c>
      <c r="DH444" s="59">
        <v>0</v>
      </c>
      <c r="DI444" s="59">
        <v>1</v>
      </c>
      <c r="DJ444" s="59">
        <v>1</v>
      </c>
      <c r="DK444" s="59"/>
      <c r="DL444" s="59"/>
      <c r="DM444" s="59">
        <v>0</v>
      </c>
      <c r="DN444" s="59"/>
      <c r="DO444" s="59">
        <v>2</v>
      </c>
      <c r="DP444" s="59"/>
      <c r="DQ444" s="59"/>
      <c r="DR444" s="59"/>
      <c r="DS444" s="59">
        <v>0</v>
      </c>
      <c r="DT444" s="59">
        <v>0</v>
      </c>
      <c r="DU444" s="59">
        <v>0</v>
      </c>
      <c r="DV444" s="38">
        <f t="shared" si="205"/>
        <v>31</v>
      </c>
      <c r="DW444" s="14" t="str">
        <f t="shared" si="206"/>
        <v/>
      </c>
      <c r="DX444" s="369"/>
      <c r="DY444" s="369">
        <f>S444</f>
        <v>31</v>
      </c>
    </row>
    <row r="445" spans="1:129" customFormat="1">
      <c r="A445" s="210">
        <v>37500</v>
      </c>
      <c r="B445" s="211"/>
      <c r="C445" s="61">
        <v>3</v>
      </c>
      <c r="D445" s="59">
        <v>12</v>
      </c>
      <c r="E445" s="59">
        <v>0</v>
      </c>
      <c r="F445" s="59">
        <v>0</v>
      </c>
      <c r="G445" s="59">
        <v>0</v>
      </c>
      <c r="H445" s="59">
        <v>0</v>
      </c>
      <c r="I445" s="59">
        <v>0</v>
      </c>
      <c r="J445" s="59">
        <v>5</v>
      </c>
      <c r="K445" s="59">
        <v>5</v>
      </c>
      <c r="L445" s="59">
        <v>0</v>
      </c>
      <c r="M445" s="59">
        <v>0</v>
      </c>
      <c r="N445" s="59">
        <v>0</v>
      </c>
      <c r="O445" s="59">
        <v>4</v>
      </c>
      <c r="P445" s="59">
        <v>0</v>
      </c>
      <c r="Q445" s="59">
        <v>0</v>
      </c>
      <c r="R445" s="59">
        <v>0</v>
      </c>
      <c r="S445" s="35">
        <f>SUM(C445:R445)</f>
        <v>29</v>
      </c>
      <c r="T445" s="59"/>
      <c r="U445" s="59">
        <v>6</v>
      </c>
      <c r="V445" s="59"/>
      <c r="W445" s="59">
        <v>0</v>
      </c>
      <c r="X445" s="62">
        <v>0</v>
      </c>
      <c r="Y445" s="59"/>
      <c r="Z445" s="61">
        <v>2940416</v>
      </c>
      <c r="AA445" s="59"/>
      <c r="AB445" s="59"/>
      <c r="AC445" s="61">
        <v>651458</v>
      </c>
      <c r="AD445" s="59"/>
      <c r="AE445" s="35">
        <f t="shared" si="204"/>
        <v>651458</v>
      </c>
      <c r="AF445" s="10"/>
      <c r="AG445" s="61">
        <v>42</v>
      </c>
      <c r="AH445" s="59">
        <v>88</v>
      </c>
      <c r="AI445" s="59">
        <v>140</v>
      </c>
      <c r="AJ445" s="5"/>
      <c r="AK445" s="10"/>
      <c r="AL445" s="8"/>
      <c r="AM445" s="10"/>
      <c r="AN445" s="35"/>
      <c r="AO445" s="279"/>
      <c r="AP445" s="279"/>
      <c r="AQ445" s="281"/>
      <c r="AR445" s="59">
        <v>157</v>
      </c>
      <c r="AS445" s="59"/>
      <c r="AT445" s="59"/>
      <c r="AU445" s="59"/>
      <c r="AV445" s="62"/>
      <c r="AW445" s="10"/>
      <c r="AX445" s="326"/>
      <c r="AY445" s="5"/>
      <c r="AZ445" s="10"/>
      <c r="BA445" s="61">
        <v>1729</v>
      </c>
      <c r="BB445" s="59">
        <v>32310135</v>
      </c>
      <c r="BC445" s="59"/>
      <c r="BD445" s="59"/>
      <c r="BE445" s="59">
        <v>70</v>
      </c>
      <c r="BF445" s="59">
        <v>8</v>
      </c>
      <c r="BG445" s="59">
        <v>0</v>
      </c>
      <c r="BH445" s="351"/>
      <c r="BI445" s="59">
        <v>2409065</v>
      </c>
      <c r="BJ445" s="342">
        <v>37509</v>
      </c>
      <c r="BK445" s="342">
        <v>37596</v>
      </c>
      <c r="BL445" s="320">
        <f>BK445-BJ445</f>
        <v>87</v>
      </c>
      <c r="BM445" s="62"/>
      <c r="BN445" s="59"/>
      <c r="BO445" s="61"/>
      <c r="BP445" s="62">
        <v>156</v>
      </c>
      <c r="BQ445" s="10"/>
      <c r="BR445" s="29">
        <v>2003</v>
      </c>
      <c r="BS445" s="64">
        <v>2002</v>
      </c>
      <c r="BT445" s="14">
        <v>17</v>
      </c>
      <c r="BU445" s="10"/>
      <c r="BV445" s="8">
        <v>0</v>
      </c>
      <c r="BW445" s="59">
        <v>1</v>
      </c>
      <c r="BX445" s="59">
        <v>0</v>
      </c>
      <c r="BY445" s="59"/>
      <c r="BZ445" s="59"/>
      <c r="CA445" s="59"/>
      <c r="CB445" s="59"/>
      <c r="CC445" s="221"/>
      <c r="CD445" s="59">
        <v>4</v>
      </c>
      <c r="CE445" s="317">
        <v>0</v>
      </c>
      <c r="CF445" s="59">
        <v>1</v>
      </c>
      <c r="CG445" s="59">
        <v>0</v>
      </c>
      <c r="CH445" s="59"/>
      <c r="CI445" s="59">
        <v>0</v>
      </c>
      <c r="CJ445" s="59">
        <v>5</v>
      </c>
      <c r="CK445" s="59"/>
      <c r="CL445" s="59"/>
      <c r="CM445" s="59">
        <v>0</v>
      </c>
      <c r="CN445" s="59"/>
      <c r="CO445" s="59">
        <v>4</v>
      </c>
      <c r="CP445" s="317"/>
      <c r="CQ445" s="59"/>
      <c r="CR445" s="59"/>
      <c r="CS445" s="59">
        <v>0</v>
      </c>
      <c r="CT445" s="59">
        <v>1</v>
      </c>
      <c r="CU445" s="59">
        <v>0</v>
      </c>
      <c r="CV445" s="59">
        <v>3</v>
      </c>
      <c r="CW445" s="59"/>
      <c r="CX445" s="59"/>
      <c r="CY445" s="59">
        <v>0</v>
      </c>
      <c r="CZ445" s="59"/>
      <c r="DA445" s="59"/>
      <c r="DB445" s="59">
        <v>7</v>
      </c>
      <c r="DC445" s="59"/>
      <c r="DD445" s="59"/>
      <c r="DE445" s="59"/>
      <c r="DF445" s="59"/>
      <c r="DG445" s="59">
        <v>0</v>
      </c>
      <c r="DH445" s="59">
        <v>0</v>
      </c>
      <c r="DI445" s="59">
        <v>0</v>
      </c>
      <c r="DJ445" s="59">
        <v>0</v>
      </c>
      <c r="DK445" s="59"/>
      <c r="DL445" s="59"/>
      <c r="DM445" s="59">
        <v>1</v>
      </c>
      <c r="DN445" s="59"/>
      <c r="DO445" s="59">
        <v>0</v>
      </c>
      <c r="DP445" s="59"/>
      <c r="DQ445" s="59"/>
      <c r="DR445" s="59"/>
      <c r="DS445" s="59">
        <v>0</v>
      </c>
      <c r="DT445" s="59">
        <v>2</v>
      </c>
      <c r="DU445" s="59">
        <v>0</v>
      </c>
      <c r="DV445" s="38">
        <f t="shared" si="205"/>
        <v>29</v>
      </c>
      <c r="DW445" s="14" t="str">
        <f t="shared" si="206"/>
        <v/>
      </c>
      <c r="DX445" s="369"/>
      <c r="DY445" s="369">
        <f>S445</f>
        <v>29</v>
      </c>
    </row>
    <row r="446" spans="1:129" customFormat="1">
      <c r="A446" s="210">
        <v>37514</v>
      </c>
      <c r="B446" s="211"/>
      <c r="C446" s="61">
        <v>3</v>
      </c>
      <c r="D446" s="59">
        <v>18</v>
      </c>
      <c r="E446" s="59">
        <v>2</v>
      </c>
      <c r="F446" s="59">
        <v>1</v>
      </c>
      <c r="G446" s="59">
        <v>0</v>
      </c>
      <c r="H446" s="59">
        <v>0</v>
      </c>
      <c r="I446" s="59">
        <v>0</v>
      </c>
      <c r="J446" s="59">
        <v>17</v>
      </c>
      <c r="K446" s="59">
        <v>6</v>
      </c>
      <c r="L446" s="59">
        <v>1</v>
      </c>
      <c r="M446" s="59">
        <v>0</v>
      </c>
      <c r="N446" s="59">
        <v>0</v>
      </c>
      <c r="O446" s="59">
        <v>11</v>
      </c>
      <c r="P446" s="59">
        <v>0</v>
      </c>
      <c r="Q446" s="59">
        <v>0</v>
      </c>
      <c r="R446" s="59">
        <v>0</v>
      </c>
      <c r="S446" s="35">
        <f t="shared" ref="S446:S463" si="207">SUM(C446:R446)</f>
        <v>59</v>
      </c>
      <c r="T446" s="59"/>
      <c r="U446" s="59">
        <v>15</v>
      </c>
      <c r="V446" s="59"/>
      <c r="W446" s="59">
        <v>0</v>
      </c>
      <c r="X446" s="62">
        <v>1</v>
      </c>
      <c r="Y446" s="59"/>
      <c r="Z446" s="61">
        <v>782336</v>
      </c>
      <c r="AA446" s="59"/>
      <c r="AB446" s="59"/>
      <c r="AC446" s="61">
        <v>747902</v>
      </c>
      <c r="AD446" s="59"/>
      <c r="AE446" s="35">
        <f t="shared" si="204"/>
        <v>747902</v>
      </c>
      <c r="AF446" s="10"/>
      <c r="AG446" s="61">
        <v>71</v>
      </c>
      <c r="AH446" s="59">
        <v>1</v>
      </c>
      <c r="AI446" s="59">
        <v>90</v>
      </c>
      <c r="AJ446" s="5"/>
      <c r="AK446" s="10"/>
      <c r="AL446" s="8"/>
      <c r="AM446" s="10"/>
      <c r="AN446" s="35"/>
      <c r="AO446" s="279"/>
      <c r="AP446" s="279"/>
      <c r="AQ446" s="281"/>
      <c r="AR446" s="59">
        <v>157</v>
      </c>
      <c r="AS446" s="59"/>
      <c r="AT446" s="59"/>
      <c r="AU446" s="59"/>
      <c r="AV446" s="62"/>
      <c r="AW446" s="10"/>
      <c r="AX446" s="326"/>
      <c r="AY446" s="5"/>
      <c r="AZ446" s="10"/>
      <c r="BA446" s="61"/>
      <c r="BB446" s="10"/>
      <c r="BC446" s="10"/>
      <c r="BD446" s="10"/>
      <c r="BE446" s="10"/>
      <c r="BF446" s="10"/>
      <c r="BG446" s="10"/>
      <c r="BH446" s="30"/>
      <c r="BI446" s="10"/>
      <c r="BJ446" s="338"/>
      <c r="BK446" s="342"/>
      <c r="BL446" s="320"/>
      <c r="BM446" s="5"/>
      <c r="BN446" s="10"/>
      <c r="BO446" s="8"/>
      <c r="BP446" s="5"/>
      <c r="BQ446" s="10"/>
      <c r="BR446" s="29">
        <v>2003</v>
      </c>
      <c r="BS446" s="64">
        <v>2002</v>
      </c>
      <c r="BT446" s="14">
        <v>18</v>
      </c>
      <c r="BU446" s="10"/>
      <c r="BV446" s="8">
        <v>1</v>
      </c>
      <c r="BW446" s="59">
        <v>0</v>
      </c>
      <c r="BX446" s="59">
        <v>1</v>
      </c>
      <c r="BY446" s="59"/>
      <c r="BZ446" s="59"/>
      <c r="CA446" s="59"/>
      <c r="CB446" s="59"/>
      <c r="CC446" s="221"/>
      <c r="CD446" s="59">
        <v>13</v>
      </c>
      <c r="CE446" s="317">
        <v>0</v>
      </c>
      <c r="CF446" s="59">
        <v>4</v>
      </c>
      <c r="CG446" s="59">
        <v>0</v>
      </c>
      <c r="CH446" s="59"/>
      <c r="CI446" s="59">
        <v>6</v>
      </c>
      <c r="CJ446" s="59">
        <v>1</v>
      </c>
      <c r="CK446" s="59"/>
      <c r="CL446" s="59"/>
      <c r="CM446" s="59">
        <v>1</v>
      </c>
      <c r="CN446" s="59"/>
      <c r="CO446" s="59">
        <v>11</v>
      </c>
      <c r="CP446" s="317"/>
      <c r="CQ446" s="59"/>
      <c r="CR446" s="59"/>
      <c r="CS446" s="59">
        <v>0</v>
      </c>
      <c r="CT446" s="59">
        <v>4</v>
      </c>
      <c r="CU446" s="59">
        <v>0</v>
      </c>
      <c r="CV446" s="59">
        <v>1</v>
      </c>
      <c r="CW446" s="59"/>
      <c r="CX446" s="59"/>
      <c r="CY446" s="59">
        <v>0</v>
      </c>
      <c r="CZ446" s="59"/>
      <c r="DA446" s="59"/>
      <c r="DB446" s="59">
        <v>0</v>
      </c>
      <c r="DC446" s="59"/>
      <c r="DD446" s="59"/>
      <c r="DE446" s="59"/>
      <c r="DF446" s="59"/>
      <c r="DG446" s="59">
        <v>0</v>
      </c>
      <c r="DH446" s="59">
        <v>2</v>
      </c>
      <c r="DI446" s="59">
        <v>2</v>
      </c>
      <c r="DJ446" s="59">
        <v>1</v>
      </c>
      <c r="DK446" s="59"/>
      <c r="DL446" s="59"/>
      <c r="DM446" s="59">
        <v>3</v>
      </c>
      <c r="DN446" s="59"/>
      <c r="DO446" s="59">
        <v>0</v>
      </c>
      <c r="DP446" s="59"/>
      <c r="DQ446" s="59"/>
      <c r="DR446" s="59"/>
      <c r="DS446" s="59">
        <v>0</v>
      </c>
      <c r="DT446" s="59">
        <v>8</v>
      </c>
      <c r="DU446" s="59">
        <v>0</v>
      </c>
      <c r="DV446" s="38">
        <f t="shared" si="205"/>
        <v>59</v>
      </c>
      <c r="DW446" s="14" t="str">
        <f t="shared" si="206"/>
        <v/>
      </c>
      <c r="DX446" s="369"/>
      <c r="DY446" s="369">
        <f t="shared" ref="DY446:DY464" si="208">S446</f>
        <v>59</v>
      </c>
    </row>
    <row r="447" spans="1:129" customFormat="1">
      <c r="A447" s="210">
        <v>37530</v>
      </c>
      <c r="B447" s="211"/>
      <c r="C447" s="61">
        <v>2</v>
      </c>
      <c r="D447" s="59">
        <v>23</v>
      </c>
      <c r="E447" s="59">
        <v>1</v>
      </c>
      <c r="F447" s="59">
        <v>0</v>
      </c>
      <c r="G447" s="59">
        <v>0</v>
      </c>
      <c r="H447" s="59">
        <v>1</v>
      </c>
      <c r="I447" s="59">
        <v>0</v>
      </c>
      <c r="J447" s="59">
        <v>59</v>
      </c>
      <c r="K447" s="59">
        <v>1</v>
      </c>
      <c r="L447" s="59">
        <v>0</v>
      </c>
      <c r="M447" s="59">
        <v>0</v>
      </c>
      <c r="N447" s="59">
        <v>0</v>
      </c>
      <c r="O447" s="59">
        <v>11</v>
      </c>
      <c r="P447" s="59">
        <v>3</v>
      </c>
      <c r="Q447" s="59">
        <v>1</v>
      </c>
      <c r="R447" s="59">
        <v>0</v>
      </c>
      <c r="S447" s="35">
        <f t="shared" si="207"/>
        <v>102</v>
      </c>
      <c r="T447" s="59"/>
      <c r="U447" s="59">
        <v>14</v>
      </c>
      <c r="V447" s="59"/>
      <c r="W447" s="59">
        <v>0</v>
      </c>
      <c r="X447" s="5">
        <v>0</v>
      </c>
      <c r="Y447" s="10"/>
      <c r="Z447" s="61">
        <v>980992</v>
      </c>
      <c r="AA447" s="59"/>
      <c r="AB447" s="59"/>
      <c r="AC447" s="61">
        <v>716195</v>
      </c>
      <c r="AD447" s="59"/>
      <c r="AE447" s="35">
        <f t="shared" si="204"/>
        <v>716195</v>
      </c>
      <c r="AF447" s="10"/>
      <c r="AG447" s="61">
        <v>92</v>
      </c>
      <c r="AH447" s="59">
        <v>1</v>
      </c>
      <c r="AI447" s="59">
        <v>106</v>
      </c>
      <c r="AJ447" s="5"/>
      <c r="AK447" s="10"/>
      <c r="AL447" s="61">
        <v>34</v>
      </c>
      <c r="AM447" s="59">
        <v>57</v>
      </c>
      <c r="AN447" s="35">
        <f>SUM(AL447:AM447)</f>
        <v>91</v>
      </c>
      <c r="AO447" s="279"/>
      <c r="AP447" s="279"/>
      <c r="AQ447" s="281"/>
      <c r="AR447" s="59">
        <v>155</v>
      </c>
      <c r="AS447" s="59"/>
      <c r="AT447" s="59"/>
      <c r="AU447" s="59"/>
      <c r="AV447" s="62"/>
      <c r="AW447" s="10"/>
      <c r="AX447" s="326"/>
      <c r="AY447" s="5"/>
      <c r="AZ447" s="10"/>
      <c r="BA447" s="8">
        <v>1719</v>
      </c>
      <c r="BB447" s="59">
        <v>31562695</v>
      </c>
      <c r="BC447" s="10"/>
      <c r="BD447" s="10"/>
      <c r="BE447" s="59">
        <v>74</v>
      </c>
      <c r="BF447" s="59">
        <v>4</v>
      </c>
      <c r="BG447" s="59">
        <v>18</v>
      </c>
      <c r="BH447" s="351"/>
      <c r="BI447" s="59">
        <v>2411175</v>
      </c>
      <c r="BJ447" s="342">
        <v>37539</v>
      </c>
      <c r="BK447" s="342">
        <v>37621</v>
      </c>
      <c r="BL447" s="320">
        <f>BK447-BJ447</f>
        <v>82</v>
      </c>
      <c r="BM447" s="5"/>
      <c r="BN447" s="10"/>
      <c r="BO447" s="8"/>
      <c r="BP447" s="5">
        <v>155</v>
      </c>
      <c r="BQ447" s="10"/>
      <c r="BR447" s="29">
        <v>2003</v>
      </c>
      <c r="BS447" s="64">
        <v>2002</v>
      </c>
      <c r="BT447" s="14">
        <v>19</v>
      </c>
      <c r="BU447" s="10"/>
      <c r="BV447" s="8">
        <v>0</v>
      </c>
      <c r="BW447" s="59">
        <v>0</v>
      </c>
      <c r="BX447" s="59">
        <v>0</v>
      </c>
      <c r="BY447" s="59"/>
      <c r="BZ447" s="59"/>
      <c r="CA447" s="59"/>
      <c r="CB447" s="59"/>
      <c r="CC447" s="221"/>
      <c r="CD447" s="59">
        <v>1</v>
      </c>
      <c r="CE447" s="317">
        <v>0</v>
      </c>
      <c r="CF447" s="59">
        <v>2</v>
      </c>
      <c r="CG447" s="59">
        <v>2</v>
      </c>
      <c r="CH447" s="59"/>
      <c r="CI447" s="59">
        <v>32</v>
      </c>
      <c r="CJ447" s="59">
        <v>17</v>
      </c>
      <c r="CK447" s="59"/>
      <c r="CL447" s="59"/>
      <c r="CM447" s="59">
        <v>4</v>
      </c>
      <c r="CN447" s="59"/>
      <c r="CO447" s="59">
        <v>6</v>
      </c>
      <c r="CP447" s="317"/>
      <c r="CQ447" s="59"/>
      <c r="CR447" s="59"/>
      <c r="CS447" s="59">
        <v>1</v>
      </c>
      <c r="CT447" s="59">
        <v>14</v>
      </c>
      <c r="CU447" s="59">
        <v>0</v>
      </c>
      <c r="CV447" s="59">
        <v>0</v>
      </c>
      <c r="CW447" s="59"/>
      <c r="CX447" s="59"/>
      <c r="CY447" s="59">
        <v>4</v>
      </c>
      <c r="CZ447" s="59"/>
      <c r="DA447" s="59"/>
      <c r="DB447" s="59">
        <v>1</v>
      </c>
      <c r="DC447" s="59"/>
      <c r="DD447" s="59"/>
      <c r="DE447" s="59"/>
      <c r="DF447" s="59"/>
      <c r="DG447" s="59">
        <v>0</v>
      </c>
      <c r="DH447" s="59">
        <v>0</v>
      </c>
      <c r="DI447" s="59">
        <v>0</v>
      </c>
      <c r="DJ447" s="59">
        <v>8</v>
      </c>
      <c r="DK447" s="59"/>
      <c r="DL447" s="59"/>
      <c r="DM447" s="59">
        <v>3</v>
      </c>
      <c r="DN447" s="59"/>
      <c r="DO447" s="59">
        <v>0</v>
      </c>
      <c r="DP447" s="59"/>
      <c r="DQ447" s="59"/>
      <c r="DR447" s="59"/>
      <c r="DS447" s="59">
        <v>7</v>
      </c>
      <c r="DT447" s="59">
        <v>0</v>
      </c>
      <c r="DU447" s="59">
        <v>0</v>
      </c>
      <c r="DV447" s="38">
        <f t="shared" si="205"/>
        <v>102</v>
      </c>
      <c r="DW447" s="14" t="str">
        <f t="shared" si="206"/>
        <v/>
      </c>
      <c r="DX447" s="369"/>
      <c r="DY447" s="369">
        <f t="shared" si="208"/>
        <v>102</v>
      </c>
    </row>
    <row r="448" spans="1:129" customFormat="1">
      <c r="A448" s="210">
        <v>37544</v>
      </c>
      <c r="B448" s="211"/>
      <c r="C448" s="61">
        <v>2</v>
      </c>
      <c r="D448" s="59">
        <v>28</v>
      </c>
      <c r="E448" s="59">
        <v>4</v>
      </c>
      <c r="F448" s="59">
        <v>0</v>
      </c>
      <c r="G448" s="59">
        <v>1</v>
      </c>
      <c r="H448" s="59">
        <v>1</v>
      </c>
      <c r="I448" s="59">
        <v>0</v>
      </c>
      <c r="J448" s="59">
        <v>51</v>
      </c>
      <c r="K448" s="59">
        <v>0</v>
      </c>
      <c r="L448" s="59">
        <v>0</v>
      </c>
      <c r="M448" s="59">
        <v>0</v>
      </c>
      <c r="N448" s="59">
        <v>0</v>
      </c>
      <c r="O448" s="59">
        <v>4</v>
      </c>
      <c r="P448" s="59">
        <v>2</v>
      </c>
      <c r="Q448" s="59">
        <v>0</v>
      </c>
      <c r="R448" s="59">
        <v>2</v>
      </c>
      <c r="S448" s="35">
        <f t="shared" si="207"/>
        <v>95</v>
      </c>
      <c r="T448" s="59"/>
      <c r="U448" s="59">
        <v>26</v>
      </c>
      <c r="V448" s="59"/>
      <c r="W448" s="59">
        <v>2</v>
      </c>
      <c r="X448" s="5">
        <v>0</v>
      </c>
      <c r="Y448" s="10"/>
      <c r="Z448" s="61">
        <v>1416192</v>
      </c>
      <c r="AA448" s="59"/>
      <c r="AB448" s="59"/>
      <c r="AC448" s="61">
        <v>1523959</v>
      </c>
      <c r="AD448" s="59"/>
      <c r="AE448" s="35">
        <f t="shared" si="204"/>
        <v>1523959</v>
      </c>
      <c r="AF448" s="10"/>
      <c r="AG448" s="61">
        <v>148</v>
      </c>
      <c r="AH448" s="59">
        <v>1</v>
      </c>
      <c r="AI448" s="59">
        <v>160</v>
      </c>
      <c r="AJ448" s="5"/>
      <c r="AK448" s="10"/>
      <c r="AL448" s="8"/>
      <c r="AM448" s="10"/>
      <c r="AN448" s="35"/>
      <c r="AO448" s="279"/>
      <c r="AP448" s="279"/>
      <c r="AQ448" s="281"/>
      <c r="AR448" s="59">
        <v>156</v>
      </c>
      <c r="AS448" s="59"/>
      <c r="AT448" s="59"/>
      <c r="AU448" s="59"/>
      <c r="AV448" s="62"/>
      <c r="AW448" s="10"/>
      <c r="AX448" s="326"/>
      <c r="AY448" s="5"/>
      <c r="AZ448" s="10"/>
      <c r="BA448" s="8"/>
      <c r="BB448" s="10"/>
      <c r="BC448" s="10"/>
      <c r="BD448" s="10"/>
      <c r="BE448" s="10"/>
      <c r="BF448" s="10"/>
      <c r="BG448" s="10"/>
      <c r="BH448" s="30"/>
      <c r="BI448" s="10"/>
      <c r="BJ448" s="338"/>
      <c r="BK448" s="342"/>
      <c r="BL448" s="320"/>
      <c r="BM448" s="5"/>
      <c r="BN448" s="10"/>
      <c r="BO448" s="8"/>
      <c r="BP448" s="5"/>
      <c r="BQ448" s="10"/>
      <c r="BR448" s="29">
        <v>2003</v>
      </c>
      <c r="BS448" s="64">
        <v>2002</v>
      </c>
      <c r="BT448" s="14">
        <v>20</v>
      </c>
      <c r="BU448" s="10"/>
      <c r="BV448" s="8">
        <v>2</v>
      </c>
      <c r="BW448" s="59">
        <v>6</v>
      </c>
      <c r="BX448" s="59">
        <v>0</v>
      </c>
      <c r="BY448" s="59"/>
      <c r="BZ448" s="59"/>
      <c r="CA448" s="59"/>
      <c r="CB448" s="59"/>
      <c r="CC448" s="221"/>
      <c r="CD448" s="59">
        <v>5</v>
      </c>
      <c r="CE448" s="317">
        <v>0</v>
      </c>
      <c r="CF448" s="59">
        <v>5</v>
      </c>
      <c r="CG448" s="59">
        <v>0</v>
      </c>
      <c r="CH448" s="59"/>
      <c r="CI448" s="59">
        <v>0</v>
      </c>
      <c r="CJ448" s="59">
        <v>0</v>
      </c>
      <c r="CK448" s="59"/>
      <c r="CL448" s="59"/>
      <c r="CM448" s="59">
        <v>17</v>
      </c>
      <c r="CN448" s="59"/>
      <c r="CO448" s="59">
        <v>2</v>
      </c>
      <c r="CP448" s="317"/>
      <c r="CQ448" s="59"/>
      <c r="CR448" s="59"/>
      <c r="CS448" s="59">
        <v>4</v>
      </c>
      <c r="CT448" s="59">
        <v>7</v>
      </c>
      <c r="CU448" s="59">
        <v>0</v>
      </c>
      <c r="CV448" s="59">
        <v>2</v>
      </c>
      <c r="CW448" s="59"/>
      <c r="CX448" s="59"/>
      <c r="CY448" s="59">
        <v>1</v>
      </c>
      <c r="CZ448" s="59"/>
      <c r="DA448" s="59"/>
      <c r="DB448" s="59">
        <v>10</v>
      </c>
      <c r="DC448" s="59"/>
      <c r="DD448" s="59"/>
      <c r="DE448" s="59"/>
      <c r="DF448" s="59"/>
      <c r="DG448" s="59">
        <v>1</v>
      </c>
      <c r="DH448" s="59">
        <v>0</v>
      </c>
      <c r="DI448" s="59">
        <v>0</v>
      </c>
      <c r="DJ448" s="59">
        <v>0</v>
      </c>
      <c r="DK448" s="59"/>
      <c r="DL448" s="59"/>
      <c r="DM448" s="59">
        <v>1</v>
      </c>
      <c r="DN448" s="59"/>
      <c r="DO448" s="59">
        <v>1</v>
      </c>
      <c r="DP448" s="59"/>
      <c r="DQ448" s="59"/>
      <c r="DR448" s="59"/>
      <c r="DS448" s="59">
        <v>1</v>
      </c>
      <c r="DT448" s="59">
        <v>28</v>
      </c>
      <c r="DU448" s="59">
        <v>2</v>
      </c>
      <c r="DV448" s="38">
        <f t="shared" si="205"/>
        <v>95</v>
      </c>
      <c r="DW448" s="14" t="str">
        <f t="shared" si="206"/>
        <v/>
      </c>
      <c r="DX448" s="369"/>
      <c r="DY448" s="369">
        <f t="shared" si="208"/>
        <v>95</v>
      </c>
    </row>
    <row r="449" spans="1:129" customFormat="1">
      <c r="A449" s="210">
        <v>37561</v>
      </c>
      <c r="B449" s="211"/>
      <c r="C449" s="61">
        <v>1</v>
      </c>
      <c r="D449" s="59">
        <v>33</v>
      </c>
      <c r="E449" s="59">
        <v>4</v>
      </c>
      <c r="F449" s="59">
        <v>0</v>
      </c>
      <c r="G449" s="59">
        <v>1</v>
      </c>
      <c r="H449" s="59">
        <v>0</v>
      </c>
      <c r="I449" s="59">
        <v>0</v>
      </c>
      <c r="J449" s="59">
        <v>35</v>
      </c>
      <c r="K449" s="59">
        <v>0</v>
      </c>
      <c r="L449" s="59">
        <v>0</v>
      </c>
      <c r="M449" s="59">
        <v>0</v>
      </c>
      <c r="N449" s="59">
        <v>0</v>
      </c>
      <c r="O449" s="59">
        <v>1</v>
      </c>
      <c r="P449" s="59">
        <v>0</v>
      </c>
      <c r="Q449" s="59">
        <v>0</v>
      </c>
      <c r="R449" s="59">
        <v>0</v>
      </c>
      <c r="S449" s="35">
        <f t="shared" si="207"/>
        <v>75</v>
      </c>
      <c r="T449" s="59"/>
      <c r="U449" s="59">
        <v>14</v>
      </c>
      <c r="V449" s="59"/>
      <c r="W449" s="59">
        <v>5</v>
      </c>
      <c r="X449" s="5">
        <v>0</v>
      </c>
      <c r="Y449" s="10"/>
      <c r="Z449" s="61">
        <v>1478656</v>
      </c>
      <c r="AA449" s="59"/>
      <c r="AB449" s="59"/>
      <c r="AC449" s="61">
        <v>1240050</v>
      </c>
      <c r="AD449" s="59"/>
      <c r="AE449" s="35">
        <f t="shared" si="204"/>
        <v>1240050</v>
      </c>
      <c r="AF449" s="10"/>
      <c r="AG449" s="61">
        <v>155</v>
      </c>
      <c r="AH449" s="59">
        <v>1</v>
      </c>
      <c r="AI449" s="59">
        <v>166</v>
      </c>
      <c r="AJ449" s="5"/>
      <c r="AK449" s="10"/>
      <c r="AL449" s="8"/>
      <c r="AM449" s="10"/>
      <c r="AN449" s="35"/>
      <c r="AO449" s="279"/>
      <c r="AP449" s="279"/>
      <c r="AQ449" s="281"/>
      <c r="AR449" s="59">
        <v>156</v>
      </c>
      <c r="AS449" s="59">
        <v>46</v>
      </c>
      <c r="AT449" s="59">
        <v>137</v>
      </c>
      <c r="AU449" s="59">
        <v>28</v>
      </c>
      <c r="AV449" s="62">
        <v>219</v>
      </c>
      <c r="AW449" s="10"/>
      <c r="AX449" s="326"/>
      <c r="AY449" s="5"/>
      <c r="AZ449" s="10"/>
      <c r="BA449" s="8">
        <v>1723</v>
      </c>
      <c r="BB449" s="59">
        <v>31233101</v>
      </c>
      <c r="BC449" s="10"/>
      <c r="BD449" s="10"/>
      <c r="BE449" s="59">
        <v>147</v>
      </c>
      <c r="BF449" s="59">
        <v>4</v>
      </c>
      <c r="BG449" s="59">
        <v>0</v>
      </c>
      <c r="BH449" s="351"/>
      <c r="BI449" s="10">
        <v>4156475</v>
      </c>
      <c r="BJ449" s="342">
        <v>37570</v>
      </c>
      <c r="BK449" s="342">
        <v>37632</v>
      </c>
      <c r="BL449" s="320">
        <f>BK449-BJ449</f>
        <v>62</v>
      </c>
      <c r="BM449" s="5"/>
      <c r="BN449" s="10"/>
      <c r="BO449" s="8"/>
      <c r="BP449" s="5">
        <v>155</v>
      </c>
      <c r="BQ449" s="10"/>
      <c r="BR449" s="29">
        <v>2003</v>
      </c>
      <c r="BS449" s="64">
        <v>2002</v>
      </c>
      <c r="BT449" s="14">
        <v>21</v>
      </c>
      <c r="BU449" s="10"/>
      <c r="BV449" s="8">
        <v>0</v>
      </c>
      <c r="BW449" s="59">
        <v>0</v>
      </c>
      <c r="BX449" s="59">
        <v>0</v>
      </c>
      <c r="BY449" s="59"/>
      <c r="BZ449" s="59"/>
      <c r="CA449" s="59"/>
      <c r="CB449" s="59"/>
      <c r="CC449" s="221"/>
      <c r="CD449" s="59">
        <v>4</v>
      </c>
      <c r="CE449" s="317">
        <v>0</v>
      </c>
      <c r="CF449" s="59">
        <v>1</v>
      </c>
      <c r="CG449" s="59">
        <v>0</v>
      </c>
      <c r="CH449" s="59"/>
      <c r="CI449" s="59">
        <v>0</v>
      </c>
      <c r="CJ449" s="59">
        <v>20</v>
      </c>
      <c r="CK449" s="59"/>
      <c r="CL449" s="59"/>
      <c r="CM449" s="59">
        <v>0</v>
      </c>
      <c r="CN449" s="59"/>
      <c r="CO449" s="59">
        <v>20</v>
      </c>
      <c r="CP449" s="317"/>
      <c r="CQ449" s="59"/>
      <c r="CR449" s="59"/>
      <c r="CS449" s="59">
        <v>0</v>
      </c>
      <c r="CT449" s="59">
        <v>0</v>
      </c>
      <c r="CU449" s="59">
        <v>0</v>
      </c>
      <c r="CV449" s="59">
        <v>2</v>
      </c>
      <c r="CW449" s="59"/>
      <c r="CX449" s="59"/>
      <c r="CY449" s="59">
        <v>0</v>
      </c>
      <c r="CZ449" s="59"/>
      <c r="DA449" s="59"/>
      <c r="DB449" s="59">
        <v>0</v>
      </c>
      <c r="DC449" s="59"/>
      <c r="DD449" s="59"/>
      <c r="DE449" s="59"/>
      <c r="DF449" s="59"/>
      <c r="DG449" s="59">
        <v>10</v>
      </c>
      <c r="DH449" s="59">
        <v>0</v>
      </c>
      <c r="DI449" s="59">
        <v>1</v>
      </c>
      <c r="DJ449" s="59">
        <v>1</v>
      </c>
      <c r="DK449" s="59"/>
      <c r="DL449" s="59"/>
      <c r="DM449" s="59">
        <v>5</v>
      </c>
      <c r="DN449" s="59"/>
      <c r="DO449" s="59">
        <v>0</v>
      </c>
      <c r="DP449" s="59"/>
      <c r="DQ449" s="59"/>
      <c r="DR449" s="59"/>
      <c r="DS449" s="59">
        <v>0</v>
      </c>
      <c r="DT449" s="59">
        <v>11</v>
      </c>
      <c r="DU449" s="59">
        <v>0</v>
      </c>
      <c r="DV449" s="38">
        <f t="shared" si="205"/>
        <v>75</v>
      </c>
      <c r="DW449" s="14" t="str">
        <f t="shared" si="206"/>
        <v/>
      </c>
      <c r="DX449" s="369"/>
      <c r="DY449" s="369">
        <f t="shared" si="208"/>
        <v>75</v>
      </c>
    </row>
    <row r="450" spans="1:129" customFormat="1">
      <c r="A450" s="210">
        <v>37575</v>
      </c>
      <c r="B450" s="211"/>
      <c r="C450" s="61">
        <v>4</v>
      </c>
      <c r="D450" s="59">
        <v>15</v>
      </c>
      <c r="E450" s="59">
        <v>0</v>
      </c>
      <c r="F450" s="59">
        <v>3</v>
      </c>
      <c r="G450" s="59">
        <v>1</v>
      </c>
      <c r="H450" s="59">
        <v>0</v>
      </c>
      <c r="I450" s="59">
        <v>0</v>
      </c>
      <c r="J450" s="59">
        <v>73</v>
      </c>
      <c r="K450" s="59">
        <v>0</v>
      </c>
      <c r="L450" s="59">
        <v>0</v>
      </c>
      <c r="M450" s="59">
        <v>0</v>
      </c>
      <c r="N450" s="59">
        <v>0</v>
      </c>
      <c r="O450" s="59">
        <v>11</v>
      </c>
      <c r="P450" s="59">
        <v>0</v>
      </c>
      <c r="Q450" s="59">
        <v>0</v>
      </c>
      <c r="R450" s="59">
        <v>0</v>
      </c>
      <c r="S450" s="35">
        <f t="shared" si="207"/>
        <v>107</v>
      </c>
      <c r="T450" s="59"/>
      <c r="U450" s="59">
        <v>52</v>
      </c>
      <c r="V450" s="59"/>
      <c r="W450" s="59">
        <v>0</v>
      </c>
      <c r="X450" s="5">
        <v>2</v>
      </c>
      <c r="Y450" s="10"/>
      <c r="Z450" s="61">
        <v>941568</v>
      </c>
      <c r="AA450" s="59"/>
      <c r="AB450" s="59"/>
      <c r="AC450" s="61">
        <v>1051601</v>
      </c>
      <c r="AD450" s="59"/>
      <c r="AE450" s="35">
        <f t="shared" si="204"/>
        <v>1051601</v>
      </c>
      <c r="AF450" s="10"/>
      <c r="AG450" s="61">
        <v>89</v>
      </c>
      <c r="AH450" s="59">
        <v>1</v>
      </c>
      <c r="AI450" s="59">
        <v>106</v>
      </c>
      <c r="AJ450" s="5"/>
      <c r="AK450" s="10"/>
      <c r="AL450" s="8"/>
      <c r="AM450" s="10"/>
      <c r="AN450" s="35"/>
      <c r="AO450" s="279"/>
      <c r="AP450" s="279"/>
      <c r="AQ450" s="281"/>
      <c r="AR450" s="59">
        <v>157</v>
      </c>
      <c r="AS450" s="59"/>
      <c r="AT450" s="59"/>
      <c r="AU450" s="59"/>
      <c r="AV450" s="62"/>
      <c r="AW450" s="10"/>
      <c r="AX450" s="326"/>
      <c r="AY450" s="5"/>
      <c r="AZ450" s="10"/>
      <c r="BA450" s="8"/>
      <c r="BB450" s="10"/>
      <c r="BC450" s="10"/>
      <c r="BD450" s="10"/>
      <c r="BE450" s="10"/>
      <c r="BF450" s="10"/>
      <c r="BG450" s="10"/>
      <c r="BH450" s="30"/>
      <c r="BI450" s="6"/>
      <c r="BJ450" s="338"/>
      <c r="BK450" s="344"/>
      <c r="BL450" s="321"/>
      <c r="BM450" s="5"/>
      <c r="BN450" s="10"/>
      <c r="BO450" s="8"/>
      <c r="BP450" s="5"/>
      <c r="BQ450" s="10"/>
      <c r="BR450" s="29">
        <v>2003</v>
      </c>
      <c r="BS450" s="64">
        <v>2002</v>
      </c>
      <c r="BT450" s="14">
        <v>22</v>
      </c>
      <c r="BU450" s="10"/>
      <c r="BV450" s="8">
        <v>1</v>
      </c>
      <c r="BW450" s="59">
        <v>0</v>
      </c>
      <c r="BX450" s="59">
        <v>0</v>
      </c>
      <c r="BY450" s="59"/>
      <c r="BZ450" s="59"/>
      <c r="CA450" s="59"/>
      <c r="CB450" s="59"/>
      <c r="CC450" s="221"/>
      <c r="CD450" s="59">
        <v>7</v>
      </c>
      <c r="CE450" s="317">
        <v>0</v>
      </c>
      <c r="CF450" s="59">
        <v>1</v>
      </c>
      <c r="CG450" s="59">
        <v>0</v>
      </c>
      <c r="CH450" s="59"/>
      <c r="CI450" s="59">
        <v>15</v>
      </c>
      <c r="CJ450" s="59">
        <v>2</v>
      </c>
      <c r="CK450" s="59"/>
      <c r="CL450" s="59"/>
      <c r="CM450" s="59">
        <v>0</v>
      </c>
      <c r="CN450" s="59"/>
      <c r="CO450" s="59">
        <v>23</v>
      </c>
      <c r="CP450" s="317"/>
      <c r="CQ450" s="59"/>
      <c r="CR450" s="59"/>
      <c r="CS450" s="59">
        <v>0</v>
      </c>
      <c r="CT450" s="59">
        <v>16</v>
      </c>
      <c r="CU450" s="59">
        <v>0</v>
      </c>
      <c r="CV450" s="59">
        <v>1</v>
      </c>
      <c r="CW450" s="59"/>
      <c r="CX450" s="59"/>
      <c r="CY450" s="59">
        <v>6</v>
      </c>
      <c r="CZ450" s="59"/>
      <c r="DA450" s="59"/>
      <c r="DB450" s="59">
        <v>4</v>
      </c>
      <c r="DC450" s="59"/>
      <c r="DD450" s="59"/>
      <c r="DE450" s="59"/>
      <c r="DF450" s="59"/>
      <c r="DG450" s="59">
        <v>2</v>
      </c>
      <c r="DH450" s="59">
        <v>1</v>
      </c>
      <c r="DI450" s="59">
        <v>4</v>
      </c>
      <c r="DJ450" s="59">
        <v>1</v>
      </c>
      <c r="DK450" s="59"/>
      <c r="DL450" s="59"/>
      <c r="DM450" s="59">
        <v>0</v>
      </c>
      <c r="DN450" s="59"/>
      <c r="DO450" s="59">
        <v>0</v>
      </c>
      <c r="DP450" s="59"/>
      <c r="DQ450" s="59"/>
      <c r="DR450" s="59"/>
      <c r="DS450" s="59">
        <v>3</v>
      </c>
      <c r="DT450" s="59">
        <v>20</v>
      </c>
      <c r="DU450" s="59">
        <v>0</v>
      </c>
      <c r="DV450" s="38">
        <f t="shared" si="205"/>
        <v>107</v>
      </c>
      <c r="DW450" s="14" t="str">
        <f t="shared" si="206"/>
        <v/>
      </c>
      <c r="DX450" s="369"/>
      <c r="DY450" s="369">
        <f t="shared" si="208"/>
        <v>107</v>
      </c>
    </row>
    <row r="451" spans="1:129" customFormat="1">
      <c r="A451" s="210">
        <v>37591</v>
      </c>
      <c r="B451" s="211"/>
      <c r="C451" s="61">
        <v>4</v>
      </c>
      <c r="D451" s="59">
        <v>17</v>
      </c>
      <c r="E451" s="59">
        <v>1</v>
      </c>
      <c r="F451" s="59">
        <v>1</v>
      </c>
      <c r="G451" s="59">
        <v>1</v>
      </c>
      <c r="H451" s="59">
        <v>0</v>
      </c>
      <c r="I451" s="59">
        <v>0</v>
      </c>
      <c r="J451" s="59">
        <v>14</v>
      </c>
      <c r="K451" s="59">
        <v>0</v>
      </c>
      <c r="L451" s="59">
        <v>0</v>
      </c>
      <c r="M451" s="59">
        <v>0</v>
      </c>
      <c r="N451" s="59">
        <v>0</v>
      </c>
      <c r="O451" s="59">
        <v>1</v>
      </c>
      <c r="P451" s="59">
        <v>1</v>
      </c>
      <c r="Q451" s="59">
        <v>0</v>
      </c>
      <c r="R451" s="59">
        <v>0</v>
      </c>
      <c r="S451" s="35">
        <f t="shared" si="207"/>
        <v>40</v>
      </c>
      <c r="T451" s="59"/>
      <c r="U451" s="59">
        <v>14</v>
      </c>
      <c r="V451" s="59"/>
      <c r="W451" s="59">
        <v>0</v>
      </c>
      <c r="X451" s="5">
        <v>0</v>
      </c>
      <c r="Y451" s="10"/>
      <c r="Z451" s="61">
        <v>1000960</v>
      </c>
      <c r="AA451" s="59"/>
      <c r="AB451" s="59"/>
      <c r="AC451" s="61">
        <v>1652895</v>
      </c>
      <c r="AD451" s="59"/>
      <c r="AE451" s="35">
        <f t="shared" si="204"/>
        <v>1652895</v>
      </c>
      <c r="AF451" s="10"/>
      <c r="AG451" s="61">
        <v>106</v>
      </c>
      <c r="AH451" s="59">
        <v>1</v>
      </c>
      <c r="AI451" s="59">
        <v>118</v>
      </c>
      <c r="AJ451" s="5"/>
      <c r="AK451" s="10"/>
      <c r="AL451" s="8">
        <v>34</v>
      </c>
      <c r="AM451" s="10">
        <v>57</v>
      </c>
      <c r="AN451" s="35">
        <f>SUM(AL451:AM451)</f>
        <v>91</v>
      </c>
      <c r="AO451" s="279"/>
      <c r="AP451" s="279"/>
      <c r="AQ451" s="281"/>
      <c r="AR451" s="59">
        <v>156</v>
      </c>
      <c r="AS451" s="59">
        <v>49</v>
      </c>
      <c r="AT451" s="59">
        <v>138</v>
      </c>
      <c r="AU451" s="59">
        <v>28</v>
      </c>
      <c r="AV451" s="62">
        <v>224</v>
      </c>
      <c r="AW451" s="10"/>
      <c r="AX451" s="326"/>
      <c r="AY451" s="5"/>
      <c r="AZ451" s="10"/>
      <c r="BA451" s="61">
        <v>1723</v>
      </c>
      <c r="BB451" s="59">
        <v>30692268</v>
      </c>
      <c r="BC451" s="59"/>
      <c r="BD451" s="59"/>
      <c r="BE451" s="59">
        <v>92</v>
      </c>
      <c r="BF451" s="59">
        <v>5</v>
      </c>
      <c r="BG451" s="59">
        <v>5</v>
      </c>
      <c r="BH451" s="351"/>
      <c r="BI451" s="59">
        <v>1821076</v>
      </c>
      <c r="BJ451" s="342">
        <v>37600</v>
      </c>
      <c r="BK451" s="342">
        <v>37638</v>
      </c>
      <c r="BL451" s="320">
        <f>BK451-BJ451</f>
        <v>38</v>
      </c>
      <c r="BM451" s="5"/>
      <c r="BN451" s="10"/>
      <c r="BO451" s="8"/>
      <c r="BP451" s="62">
        <v>155</v>
      </c>
      <c r="BQ451" s="10"/>
      <c r="BR451" s="29">
        <v>2003</v>
      </c>
      <c r="BS451" s="64">
        <v>2002</v>
      </c>
      <c r="BT451" s="14">
        <v>23</v>
      </c>
      <c r="BU451" s="10"/>
      <c r="BV451" s="8">
        <v>2</v>
      </c>
      <c r="BW451" s="10">
        <v>0</v>
      </c>
      <c r="BX451" s="59">
        <v>1</v>
      </c>
      <c r="BY451" s="59"/>
      <c r="BZ451" s="59"/>
      <c r="CA451" s="59"/>
      <c r="CB451" s="59"/>
      <c r="CC451" s="221"/>
      <c r="CD451" s="59">
        <v>6</v>
      </c>
      <c r="CE451" s="317">
        <v>0</v>
      </c>
      <c r="CF451" s="59">
        <v>5</v>
      </c>
      <c r="CG451" s="59">
        <v>0</v>
      </c>
      <c r="CH451" s="59"/>
      <c r="CI451" s="59">
        <v>3</v>
      </c>
      <c r="CJ451" s="59">
        <v>8</v>
      </c>
      <c r="CK451" s="59"/>
      <c r="CL451" s="59"/>
      <c r="CM451" s="59">
        <v>0</v>
      </c>
      <c r="CN451" s="59"/>
      <c r="CO451" s="59">
        <v>0</v>
      </c>
      <c r="CP451" s="317"/>
      <c r="CQ451" s="59"/>
      <c r="CR451" s="59"/>
      <c r="CS451" s="59">
        <v>0</v>
      </c>
      <c r="CT451" s="59">
        <v>6</v>
      </c>
      <c r="CU451" s="59">
        <v>0</v>
      </c>
      <c r="CV451" s="59">
        <v>5</v>
      </c>
      <c r="CW451" s="59"/>
      <c r="CX451" s="59"/>
      <c r="CY451" s="59">
        <v>0</v>
      </c>
      <c r="CZ451" s="59"/>
      <c r="DA451" s="59"/>
      <c r="DB451" s="59">
        <v>0</v>
      </c>
      <c r="DC451" s="59"/>
      <c r="DD451" s="59"/>
      <c r="DE451" s="59"/>
      <c r="DF451" s="59"/>
      <c r="DG451" s="59">
        <v>1</v>
      </c>
      <c r="DH451" s="59">
        <v>0</v>
      </c>
      <c r="DI451" s="59">
        <v>0</v>
      </c>
      <c r="DJ451" s="59">
        <v>1</v>
      </c>
      <c r="DK451" s="59"/>
      <c r="DL451" s="59"/>
      <c r="DM451" s="59">
        <v>0</v>
      </c>
      <c r="DN451" s="59"/>
      <c r="DO451" s="59">
        <v>0</v>
      </c>
      <c r="DP451" s="59"/>
      <c r="DQ451" s="59"/>
      <c r="DR451" s="59"/>
      <c r="DS451" s="59">
        <v>0</v>
      </c>
      <c r="DT451" s="59">
        <v>2</v>
      </c>
      <c r="DU451" s="59">
        <v>0</v>
      </c>
      <c r="DV451" s="38">
        <f t="shared" si="205"/>
        <v>40</v>
      </c>
      <c r="DW451" s="14" t="str">
        <f t="shared" si="206"/>
        <v/>
      </c>
      <c r="DX451" s="369"/>
      <c r="DY451" s="369">
        <f t="shared" si="208"/>
        <v>40</v>
      </c>
    </row>
    <row r="452" spans="1:129" customFormat="1">
      <c r="A452" s="210">
        <v>37605</v>
      </c>
      <c r="B452" s="211"/>
      <c r="C452" s="61">
        <v>2</v>
      </c>
      <c r="D452" s="59">
        <v>12</v>
      </c>
      <c r="E452" s="59">
        <v>1</v>
      </c>
      <c r="F452" s="59">
        <v>0</v>
      </c>
      <c r="G452" s="59">
        <v>0</v>
      </c>
      <c r="H452" s="59">
        <v>0</v>
      </c>
      <c r="I452" s="59">
        <v>0</v>
      </c>
      <c r="J452" s="59">
        <v>53</v>
      </c>
      <c r="K452" s="59">
        <v>6</v>
      </c>
      <c r="L452" s="59">
        <v>0</v>
      </c>
      <c r="M452" s="59">
        <v>0</v>
      </c>
      <c r="N452" s="59">
        <v>0</v>
      </c>
      <c r="O452" s="59">
        <v>2</v>
      </c>
      <c r="P452" s="59">
        <v>2</v>
      </c>
      <c r="Q452" s="59">
        <v>0</v>
      </c>
      <c r="R452" s="59">
        <v>2</v>
      </c>
      <c r="S452" s="35">
        <f t="shared" si="207"/>
        <v>80</v>
      </c>
      <c r="T452" s="59"/>
      <c r="U452" s="59">
        <v>15</v>
      </c>
      <c r="V452" s="59"/>
      <c r="W452" s="59">
        <v>0</v>
      </c>
      <c r="X452" s="5">
        <v>0</v>
      </c>
      <c r="Y452" s="10"/>
      <c r="Z452" s="61">
        <v>876032</v>
      </c>
      <c r="AA452" s="59"/>
      <c r="AB452" s="59"/>
      <c r="AC452" s="61">
        <v>513970</v>
      </c>
      <c r="AD452" s="59"/>
      <c r="AE452" s="35">
        <f t="shared" si="204"/>
        <v>513970</v>
      </c>
      <c r="AF452" s="10"/>
      <c r="AG452" s="61">
        <v>85</v>
      </c>
      <c r="AH452" s="59">
        <v>1</v>
      </c>
      <c r="AI452" s="59">
        <v>98</v>
      </c>
      <c r="AJ452" s="5"/>
      <c r="AK452" s="10"/>
      <c r="AL452" s="8"/>
      <c r="AM452" s="10"/>
      <c r="AN452" s="35"/>
      <c r="AO452" s="279"/>
      <c r="AP452" s="279"/>
      <c r="AQ452" s="281"/>
      <c r="AR452" s="59">
        <v>157</v>
      </c>
      <c r="AS452" s="59"/>
      <c r="AT452" s="59"/>
      <c r="AU452" s="59"/>
      <c r="AV452" s="62"/>
      <c r="AW452" s="10"/>
      <c r="AX452" s="326"/>
      <c r="AY452" s="5"/>
      <c r="AZ452" s="10"/>
      <c r="BA452" s="61"/>
      <c r="BB452" s="59"/>
      <c r="BC452" s="59"/>
      <c r="BD452" s="59"/>
      <c r="BE452" s="59"/>
      <c r="BF452" s="59"/>
      <c r="BG452" s="59"/>
      <c r="BH452" s="351"/>
      <c r="BI452" s="59"/>
      <c r="BJ452" s="338"/>
      <c r="BK452" s="342"/>
      <c r="BL452" s="320"/>
      <c r="BM452" s="5"/>
      <c r="BN452" s="10"/>
      <c r="BO452" s="8"/>
      <c r="BP452" s="62"/>
      <c r="BQ452" s="10"/>
      <c r="BR452" s="29">
        <v>2003</v>
      </c>
      <c r="BS452" s="64">
        <v>2002</v>
      </c>
      <c r="BT452" s="14">
        <v>24</v>
      </c>
      <c r="BU452" s="10"/>
      <c r="BV452" s="8">
        <v>6</v>
      </c>
      <c r="BW452" s="10">
        <v>0</v>
      </c>
      <c r="BX452" s="59">
        <v>1</v>
      </c>
      <c r="BY452" s="59"/>
      <c r="BZ452" s="59"/>
      <c r="CA452" s="59"/>
      <c r="CB452" s="59"/>
      <c r="CC452" s="221"/>
      <c r="CD452" s="59">
        <v>6</v>
      </c>
      <c r="CE452" s="317">
        <v>0</v>
      </c>
      <c r="CF452" s="59">
        <v>1</v>
      </c>
      <c r="CG452" s="59">
        <v>0</v>
      </c>
      <c r="CH452" s="59"/>
      <c r="CI452" s="59">
        <v>1</v>
      </c>
      <c r="CJ452" s="59">
        <v>0</v>
      </c>
      <c r="CK452" s="59"/>
      <c r="CL452" s="59"/>
      <c r="CM452" s="59">
        <v>0</v>
      </c>
      <c r="CN452" s="59"/>
      <c r="CO452" s="59">
        <v>22</v>
      </c>
      <c r="CP452" s="317"/>
      <c r="CQ452" s="59"/>
      <c r="CR452" s="59"/>
      <c r="CS452" s="59">
        <v>0</v>
      </c>
      <c r="CT452" s="59">
        <v>11</v>
      </c>
      <c r="CU452" s="59">
        <v>0</v>
      </c>
      <c r="CV452" s="59">
        <v>5</v>
      </c>
      <c r="CW452" s="59"/>
      <c r="CX452" s="59"/>
      <c r="CY452" s="59">
        <v>7</v>
      </c>
      <c r="CZ452" s="59"/>
      <c r="DA452" s="59"/>
      <c r="DB452" s="59">
        <v>4</v>
      </c>
      <c r="DC452" s="59"/>
      <c r="DD452" s="59"/>
      <c r="DE452" s="59"/>
      <c r="DF452" s="59"/>
      <c r="DG452" s="59">
        <v>8</v>
      </c>
      <c r="DH452" s="59">
        <v>0</v>
      </c>
      <c r="DI452" s="59">
        <v>5</v>
      </c>
      <c r="DJ452" s="59">
        <v>0</v>
      </c>
      <c r="DK452" s="59"/>
      <c r="DL452" s="59"/>
      <c r="DM452" s="59">
        <v>0</v>
      </c>
      <c r="DN452" s="59"/>
      <c r="DO452" s="59">
        <v>0</v>
      </c>
      <c r="DP452" s="59"/>
      <c r="DQ452" s="59"/>
      <c r="DR452" s="59"/>
      <c r="DS452" s="59">
        <v>0</v>
      </c>
      <c r="DT452" s="59">
        <v>1</v>
      </c>
      <c r="DU452" s="59">
        <v>2</v>
      </c>
      <c r="DV452" s="38">
        <f t="shared" si="205"/>
        <v>80</v>
      </c>
      <c r="DW452" s="14" t="str">
        <f t="shared" si="206"/>
        <v/>
      </c>
      <c r="DX452" s="369"/>
      <c r="DY452" s="369">
        <f t="shared" si="208"/>
        <v>80</v>
      </c>
    </row>
    <row r="453" spans="1:129" customFormat="1">
      <c r="A453" s="210">
        <v>37622</v>
      </c>
      <c r="B453" s="211"/>
      <c r="C453" s="8">
        <v>0</v>
      </c>
      <c r="D453" s="59">
        <v>18</v>
      </c>
      <c r="E453" s="59">
        <v>2</v>
      </c>
      <c r="F453" s="59">
        <v>0</v>
      </c>
      <c r="G453" s="59">
        <v>1</v>
      </c>
      <c r="H453" s="59">
        <v>0</v>
      </c>
      <c r="I453" s="59">
        <v>0</v>
      </c>
      <c r="J453" s="59">
        <v>57</v>
      </c>
      <c r="K453" s="59">
        <v>0</v>
      </c>
      <c r="L453" s="59">
        <v>0</v>
      </c>
      <c r="M453" s="59">
        <v>0</v>
      </c>
      <c r="N453" s="59">
        <v>0</v>
      </c>
      <c r="O453" s="59">
        <v>4</v>
      </c>
      <c r="P453" s="59">
        <v>0</v>
      </c>
      <c r="Q453" s="59">
        <v>19</v>
      </c>
      <c r="R453" s="59">
        <v>2</v>
      </c>
      <c r="S453" s="35">
        <f t="shared" si="207"/>
        <v>103</v>
      </c>
      <c r="T453" s="59"/>
      <c r="U453" s="59">
        <v>28</v>
      </c>
      <c r="V453" s="59"/>
      <c r="W453" s="59">
        <v>0</v>
      </c>
      <c r="X453" s="62">
        <v>0</v>
      </c>
      <c r="Y453" s="10"/>
      <c r="Z453" s="61">
        <v>802816</v>
      </c>
      <c r="AA453" s="59"/>
      <c r="AB453" s="59"/>
      <c r="AC453" s="61">
        <v>498893</v>
      </c>
      <c r="AD453" s="59"/>
      <c r="AE453" s="35">
        <f t="shared" si="204"/>
        <v>498893</v>
      </c>
      <c r="AF453" s="10"/>
      <c r="AG453" s="61">
        <v>77</v>
      </c>
      <c r="AH453" s="59">
        <v>1</v>
      </c>
      <c r="AI453" s="59">
        <v>92</v>
      </c>
      <c r="AJ453" s="5"/>
      <c r="AK453" s="10"/>
      <c r="AL453" s="61">
        <v>34</v>
      </c>
      <c r="AM453" s="59">
        <v>58</v>
      </c>
      <c r="AN453" s="35">
        <f>SUM(AL453:AM453)</f>
        <v>92</v>
      </c>
      <c r="AO453" s="279"/>
      <c r="AP453" s="279"/>
      <c r="AQ453" s="281"/>
      <c r="AR453" s="59">
        <v>155</v>
      </c>
      <c r="AS453" s="59">
        <v>43</v>
      </c>
      <c r="AT453" s="59">
        <v>106</v>
      </c>
      <c r="AU453" s="59">
        <v>26</v>
      </c>
      <c r="AV453" s="62">
        <v>183</v>
      </c>
      <c r="AW453" s="10"/>
      <c r="AX453" s="326"/>
      <c r="AY453" s="5"/>
      <c r="AZ453" s="10"/>
      <c r="BA453" s="61">
        <v>1719</v>
      </c>
      <c r="BB453" s="59">
        <v>30233820</v>
      </c>
      <c r="BC453" s="59"/>
      <c r="BD453" s="59"/>
      <c r="BE453" s="59">
        <v>166</v>
      </c>
      <c r="BF453" s="59">
        <v>3</v>
      </c>
      <c r="BG453" s="59">
        <v>7</v>
      </c>
      <c r="BH453" s="351"/>
      <c r="BI453" s="59">
        <v>3325769</v>
      </c>
      <c r="BJ453" s="342">
        <v>37631</v>
      </c>
      <c r="BK453" s="342">
        <v>37656</v>
      </c>
      <c r="BL453" s="320">
        <f>BK453-BJ453</f>
        <v>25</v>
      </c>
      <c r="BM453" s="5">
        <f>368+540+873+549+246+358+457+304+389+214</f>
        <v>4298</v>
      </c>
      <c r="BN453" s="10"/>
      <c r="BO453" s="8"/>
      <c r="BP453" s="62">
        <v>155</v>
      </c>
      <c r="BQ453" s="10"/>
      <c r="BR453" s="29">
        <v>2003</v>
      </c>
      <c r="BS453" s="64">
        <v>2003</v>
      </c>
      <c r="BT453" s="14">
        <v>1</v>
      </c>
      <c r="BU453" s="10"/>
      <c r="BV453" s="8">
        <v>6</v>
      </c>
      <c r="BW453" s="10">
        <v>0</v>
      </c>
      <c r="BX453" s="59">
        <v>0</v>
      </c>
      <c r="BY453" s="59"/>
      <c r="BZ453" s="59"/>
      <c r="CA453" s="59"/>
      <c r="CB453" s="59"/>
      <c r="CC453" s="221"/>
      <c r="CD453" s="59">
        <v>4</v>
      </c>
      <c r="CE453" s="317">
        <v>0</v>
      </c>
      <c r="CF453" s="59">
        <v>1</v>
      </c>
      <c r="CG453" s="59">
        <v>0</v>
      </c>
      <c r="CH453" s="59"/>
      <c r="CI453" s="59">
        <v>0</v>
      </c>
      <c r="CJ453" s="59">
        <v>8</v>
      </c>
      <c r="CK453" s="59"/>
      <c r="CL453" s="59"/>
      <c r="CM453" s="59">
        <v>0</v>
      </c>
      <c r="CN453" s="59"/>
      <c r="CO453" s="59">
        <v>5</v>
      </c>
      <c r="CP453" s="317"/>
      <c r="CQ453" s="59"/>
      <c r="CR453" s="59"/>
      <c r="CS453" s="59">
        <v>0</v>
      </c>
      <c r="CT453" s="59">
        <v>26</v>
      </c>
      <c r="CU453" s="59">
        <v>0</v>
      </c>
      <c r="CV453" s="59">
        <v>0</v>
      </c>
      <c r="CW453" s="59"/>
      <c r="CX453" s="59"/>
      <c r="CY453" s="59">
        <v>0</v>
      </c>
      <c r="CZ453" s="59"/>
      <c r="DA453" s="59"/>
      <c r="DB453" s="59">
        <v>26</v>
      </c>
      <c r="DC453" s="59"/>
      <c r="DD453" s="59"/>
      <c r="DE453" s="59"/>
      <c r="DF453" s="59"/>
      <c r="DG453" s="59">
        <v>0</v>
      </c>
      <c r="DH453" s="10">
        <v>6</v>
      </c>
      <c r="DI453" s="59">
        <v>1</v>
      </c>
      <c r="DJ453" s="59">
        <v>1</v>
      </c>
      <c r="DK453" s="59"/>
      <c r="DL453" s="59"/>
      <c r="DM453" s="59">
        <v>5</v>
      </c>
      <c r="DN453" s="59"/>
      <c r="DO453" s="59">
        <v>6</v>
      </c>
      <c r="DP453" s="59"/>
      <c r="DQ453" s="59"/>
      <c r="DR453" s="59"/>
      <c r="DS453" s="59">
        <v>1</v>
      </c>
      <c r="DT453" s="59">
        <v>5</v>
      </c>
      <c r="DU453" s="59">
        <v>2</v>
      </c>
      <c r="DV453" s="38">
        <f t="shared" si="205"/>
        <v>103</v>
      </c>
      <c r="DW453" s="14" t="str">
        <f t="shared" si="206"/>
        <v/>
      </c>
      <c r="DX453" s="369"/>
      <c r="DY453" s="369">
        <f t="shared" si="208"/>
        <v>103</v>
      </c>
    </row>
    <row r="454" spans="1:129" customFormat="1">
      <c r="A454" s="210">
        <v>37636</v>
      </c>
      <c r="B454" s="211"/>
      <c r="C454" s="8">
        <v>1</v>
      </c>
      <c r="D454" s="59">
        <v>17</v>
      </c>
      <c r="E454" s="59">
        <v>1</v>
      </c>
      <c r="F454" s="59">
        <v>1</v>
      </c>
      <c r="G454" s="59">
        <v>0</v>
      </c>
      <c r="H454" s="59">
        <v>3</v>
      </c>
      <c r="I454" s="59">
        <v>0</v>
      </c>
      <c r="J454" s="59">
        <v>42</v>
      </c>
      <c r="K454" s="59">
        <v>0</v>
      </c>
      <c r="L454" s="59">
        <v>0</v>
      </c>
      <c r="M454" s="59">
        <v>0</v>
      </c>
      <c r="N454" s="59">
        <v>0</v>
      </c>
      <c r="O454" s="59">
        <v>6</v>
      </c>
      <c r="P454" s="59">
        <v>0</v>
      </c>
      <c r="Q454" s="59">
        <v>0</v>
      </c>
      <c r="R454" s="59">
        <v>3</v>
      </c>
      <c r="S454" s="35">
        <f t="shared" si="207"/>
        <v>74</v>
      </c>
      <c r="T454" s="59"/>
      <c r="U454" s="59">
        <v>19</v>
      </c>
      <c r="V454" s="59"/>
      <c r="W454" s="59">
        <v>0</v>
      </c>
      <c r="X454" s="62">
        <v>1</v>
      </c>
      <c r="Y454" s="10"/>
      <c r="Z454" s="61">
        <v>808448</v>
      </c>
      <c r="AA454" s="59"/>
      <c r="AB454" s="59"/>
      <c r="AC454" s="61">
        <v>536318</v>
      </c>
      <c r="AD454" s="59"/>
      <c r="AE454" s="35">
        <f t="shared" si="204"/>
        <v>536318</v>
      </c>
      <c r="AF454" s="10"/>
      <c r="AG454" s="61">
        <v>79</v>
      </c>
      <c r="AH454" s="59">
        <v>1</v>
      </c>
      <c r="AI454" s="59">
        <v>92</v>
      </c>
      <c r="AJ454" s="5"/>
      <c r="AK454" s="10"/>
      <c r="AL454" s="8"/>
      <c r="AM454" s="10"/>
      <c r="AN454" s="35"/>
      <c r="AO454" s="279"/>
      <c r="AP454" s="279"/>
      <c r="AQ454" s="281"/>
      <c r="AR454" s="59">
        <v>155</v>
      </c>
      <c r="AS454" s="59">
        <v>44</v>
      </c>
      <c r="AT454" s="59">
        <v>103</v>
      </c>
      <c r="AU454" s="59">
        <v>23</v>
      </c>
      <c r="AV454" s="62">
        <v>178</v>
      </c>
      <c r="AW454" s="10"/>
      <c r="AX454" s="326"/>
      <c r="AY454" s="5"/>
      <c r="AZ454" s="10"/>
      <c r="BA454" s="61"/>
      <c r="BB454" s="59"/>
      <c r="BC454" s="59"/>
      <c r="BD454" s="59"/>
      <c r="BE454" s="59"/>
      <c r="BF454" s="59"/>
      <c r="BG454" s="59"/>
      <c r="BH454" s="351"/>
      <c r="BI454" s="59"/>
      <c r="BJ454" s="338"/>
      <c r="BK454" s="342"/>
      <c r="BL454" s="320"/>
      <c r="BM454" s="5"/>
      <c r="BN454" s="10"/>
      <c r="BO454" s="8"/>
      <c r="BP454" s="62"/>
      <c r="BQ454" s="10"/>
      <c r="BR454" s="29">
        <v>2003</v>
      </c>
      <c r="BS454" s="64">
        <v>2003</v>
      </c>
      <c r="BT454" s="14">
        <v>2</v>
      </c>
      <c r="BU454" s="10"/>
      <c r="BV454" s="8">
        <v>1</v>
      </c>
      <c r="BW454" s="10">
        <v>0</v>
      </c>
      <c r="BX454" s="59">
        <v>2</v>
      </c>
      <c r="BY454" s="59"/>
      <c r="BZ454" s="59"/>
      <c r="CA454" s="59"/>
      <c r="CB454" s="59"/>
      <c r="CC454" s="221"/>
      <c r="CD454" s="59">
        <v>8</v>
      </c>
      <c r="CE454" s="317">
        <v>0</v>
      </c>
      <c r="CF454" s="59">
        <v>0</v>
      </c>
      <c r="CG454" s="59">
        <v>2</v>
      </c>
      <c r="CH454" s="59"/>
      <c r="CI454" s="59">
        <v>0</v>
      </c>
      <c r="CJ454" s="59">
        <v>6</v>
      </c>
      <c r="CK454" s="59"/>
      <c r="CL454" s="59"/>
      <c r="CM454" s="59">
        <v>1</v>
      </c>
      <c r="CN454" s="59"/>
      <c r="CO454" s="59">
        <v>20</v>
      </c>
      <c r="CP454" s="317"/>
      <c r="CQ454" s="59"/>
      <c r="CR454" s="59"/>
      <c r="CS454" s="59">
        <v>0</v>
      </c>
      <c r="CT454" s="59">
        <v>10</v>
      </c>
      <c r="CU454" s="59">
        <v>0</v>
      </c>
      <c r="CV454" s="59">
        <v>1</v>
      </c>
      <c r="CW454" s="59"/>
      <c r="CX454" s="59"/>
      <c r="CY454" s="59">
        <v>0</v>
      </c>
      <c r="CZ454" s="59"/>
      <c r="DA454" s="59"/>
      <c r="DB454" s="59">
        <v>8</v>
      </c>
      <c r="DC454" s="59"/>
      <c r="DD454" s="59"/>
      <c r="DE454" s="59"/>
      <c r="DF454" s="59"/>
      <c r="DG454" s="59">
        <v>9</v>
      </c>
      <c r="DH454" s="59">
        <v>2</v>
      </c>
      <c r="DI454" s="59">
        <v>0</v>
      </c>
      <c r="DJ454" s="59">
        <v>0</v>
      </c>
      <c r="DK454" s="59"/>
      <c r="DL454" s="59"/>
      <c r="DM454" s="59">
        <v>0</v>
      </c>
      <c r="DN454" s="59"/>
      <c r="DO454" s="10">
        <v>1</v>
      </c>
      <c r="DP454" s="10"/>
      <c r="DQ454" s="10"/>
      <c r="DR454" s="10"/>
      <c r="DS454" s="59">
        <v>0</v>
      </c>
      <c r="DT454" s="59">
        <v>0</v>
      </c>
      <c r="DU454" s="59">
        <v>3</v>
      </c>
      <c r="DV454" s="38">
        <f t="shared" si="205"/>
        <v>74</v>
      </c>
      <c r="DW454" s="14" t="str">
        <f t="shared" si="206"/>
        <v/>
      </c>
      <c r="DX454" s="369"/>
      <c r="DY454" s="369">
        <f t="shared" si="208"/>
        <v>74</v>
      </c>
    </row>
    <row r="455" spans="1:129" customFormat="1">
      <c r="A455" s="210">
        <v>37653</v>
      </c>
      <c r="B455" s="211"/>
      <c r="C455" s="61">
        <v>7</v>
      </c>
      <c r="D455" s="59">
        <v>13</v>
      </c>
      <c r="E455" s="59">
        <v>0</v>
      </c>
      <c r="F455" s="59">
        <v>0</v>
      </c>
      <c r="G455" s="59">
        <v>1</v>
      </c>
      <c r="H455" s="59">
        <v>6</v>
      </c>
      <c r="I455" s="59">
        <v>0</v>
      </c>
      <c r="J455" s="59">
        <v>27</v>
      </c>
      <c r="K455" s="59">
        <v>0</v>
      </c>
      <c r="L455" s="59">
        <v>2</v>
      </c>
      <c r="M455" s="59">
        <v>0</v>
      </c>
      <c r="N455" s="59">
        <v>0</v>
      </c>
      <c r="O455" s="59">
        <v>12</v>
      </c>
      <c r="P455" s="59">
        <v>2</v>
      </c>
      <c r="Q455" s="59">
        <v>0</v>
      </c>
      <c r="R455" s="59">
        <v>3</v>
      </c>
      <c r="S455" s="35">
        <f t="shared" si="207"/>
        <v>73</v>
      </c>
      <c r="T455" s="59"/>
      <c r="U455" s="59">
        <v>16</v>
      </c>
      <c r="V455" s="59"/>
      <c r="W455" s="59">
        <v>0</v>
      </c>
      <c r="X455" s="62">
        <v>1</v>
      </c>
      <c r="Y455" s="10"/>
      <c r="Z455" s="61">
        <v>751616</v>
      </c>
      <c r="AA455" s="59"/>
      <c r="AB455" s="59"/>
      <c r="AC455" s="61">
        <v>996008</v>
      </c>
      <c r="AD455" s="59"/>
      <c r="AE455" s="35">
        <f t="shared" si="204"/>
        <v>996008</v>
      </c>
      <c r="AF455" s="10"/>
      <c r="AG455" s="61">
        <v>73</v>
      </c>
      <c r="AH455" s="59">
        <v>1</v>
      </c>
      <c r="AI455" s="59">
        <v>86</v>
      </c>
      <c r="AJ455" s="5"/>
      <c r="AK455" s="10"/>
      <c r="AL455" s="8"/>
      <c r="AM455" s="10"/>
      <c r="AN455" s="35"/>
      <c r="AO455" s="279"/>
      <c r="AP455" s="279"/>
      <c r="AQ455" s="281"/>
      <c r="AR455" s="59">
        <v>154</v>
      </c>
      <c r="AS455" s="59">
        <v>44</v>
      </c>
      <c r="AT455" s="59">
        <v>103</v>
      </c>
      <c r="AU455" s="59">
        <v>22</v>
      </c>
      <c r="AV455" s="62">
        <v>178</v>
      </c>
      <c r="AW455" s="10"/>
      <c r="AX455" s="326"/>
      <c r="AY455" s="5"/>
      <c r="AZ455" s="10"/>
      <c r="BA455" s="61">
        <v>1721</v>
      </c>
      <c r="BB455" s="59">
        <v>30074519</v>
      </c>
      <c r="BC455" s="59"/>
      <c r="BD455" s="59"/>
      <c r="BE455" s="59">
        <v>78</v>
      </c>
      <c r="BF455" s="59">
        <v>4</v>
      </c>
      <c r="BG455" s="59">
        <v>2</v>
      </c>
      <c r="BH455" s="351"/>
      <c r="BI455" s="59">
        <v>2066362</v>
      </c>
      <c r="BJ455" s="342">
        <v>37662</v>
      </c>
      <c r="BK455" s="342">
        <v>37708</v>
      </c>
      <c r="BL455" s="320">
        <f>BK455-BJ455</f>
        <v>46</v>
      </c>
      <c r="BM455" s="5"/>
      <c r="BN455" s="10"/>
      <c r="BO455" s="8"/>
      <c r="BP455" s="62">
        <v>155</v>
      </c>
      <c r="BQ455" s="10"/>
      <c r="BR455" s="29">
        <v>2003</v>
      </c>
      <c r="BS455" s="64">
        <v>2003</v>
      </c>
      <c r="BT455" s="14">
        <v>3</v>
      </c>
      <c r="BU455" s="10"/>
      <c r="BV455" s="8">
        <v>7</v>
      </c>
      <c r="BW455" s="10">
        <v>0</v>
      </c>
      <c r="BX455" s="59">
        <v>0</v>
      </c>
      <c r="BY455" s="59"/>
      <c r="BZ455" s="59"/>
      <c r="CA455" s="59"/>
      <c r="CB455" s="59"/>
      <c r="CC455" s="221"/>
      <c r="CD455" s="59">
        <v>2</v>
      </c>
      <c r="CE455" s="317">
        <v>0</v>
      </c>
      <c r="CF455" s="59">
        <v>1</v>
      </c>
      <c r="CG455" s="59">
        <v>0</v>
      </c>
      <c r="CH455" s="59"/>
      <c r="CI455" s="59">
        <v>15</v>
      </c>
      <c r="CJ455" s="59">
        <v>9</v>
      </c>
      <c r="CK455" s="59"/>
      <c r="CL455" s="59"/>
      <c r="CM455" s="59">
        <v>0</v>
      </c>
      <c r="CN455" s="59"/>
      <c r="CO455" s="59">
        <v>13</v>
      </c>
      <c r="CP455" s="317"/>
      <c r="CQ455" s="59"/>
      <c r="CR455" s="59"/>
      <c r="CS455" s="59">
        <v>0</v>
      </c>
      <c r="CT455" s="59">
        <v>2</v>
      </c>
      <c r="CU455" s="59">
        <v>0</v>
      </c>
      <c r="CV455" s="59">
        <v>7</v>
      </c>
      <c r="CW455" s="59"/>
      <c r="CX455" s="59"/>
      <c r="CY455" s="59">
        <v>2</v>
      </c>
      <c r="CZ455" s="59"/>
      <c r="DA455" s="59"/>
      <c r="DB455" s="59">
        <v>2</v>
      </c>
      <c r="DC455" s="59"/>
      <c r="DD455" s="59"/>
      <c r="DE455" s="59"/>
      <c r="DF455" s="59"/>
      <c r="DG455" s="59">
        <v>2</v>
      </c>
      <c r="DH455" s="59">
        <v>0</v>
      </c>
      <c r="DI455" s="59">
        <v>1</v>
      </c>
      <c r="DJ455" s="59">
        <v>1</v>
      </c>
      <c r="DK455" s="59"/>
      <c r="DL455" s="59"/>
      <c r="DM455" s="59">
        <v>2</v>
      </c>
      <c r="DN455" s="59"/>
      <c r="DO455" s="59">
        <v>1</v>
      </c>
      <c r="DP455" s="59"/>
      <c r="DQ455" s="59"/>
      <c r="DR455" s="59"/>
      <c r="DS455" s="59">
        <v>2</v>
      </c>
      <c r="DT455" s="59">
        <v>1</v>
      </c>
      <c r="DU455" s="59">
        <v>3</v>
      </c>
      <c r="DV455" s="38">
        <f t="shared" si="205"/>
        <v>73</v>
      </c>
      <c r="DW455" s="14" t="str">
        <f t="shared" si="206"/>
        <v/>
      </c>
      <c r="DX455" s="369"/>
      <c r="DY455" s="369">
        <f t="shared" si="208"/>
        <v>73</v>
      </c>
    </row>
    <row r="456" spans="1:129" customFormat="1">
      <c r="A456" s="210">
        <v>37667</v>
      </c>
      <c r="B456" s="211"/>
      <c r="C456" s="61">
        <v>0</v>
      </c>
      <c r="D456" s="59">
        <v>11</v>
      </c>
      <c r="E456" s="59">
        <v>0</v>
      </c>
      <c r="F456" s="59">
        <v>1</v>
      </c>
      <c r="G456" s="59">
        <v>0</v>
      </c>
      <c r="H456" s="59">
        <v>2</v>
      </c>
      <c r="I456" s="59">
        <v>0</v>
      </c>
      <c r="J456" s="59">
        <v>17</v>
      </c>
      <c r="K456" s="59">
        <v>2</v>
      </c>
      <c r="L456" s="59">
        <v>0</v>
      </c>
      <c r="M456" s="59">
        <v>0</v>
      </c>
      <c r="N456" s="59">
        <v>0</v>
      </c>
      <c r="O456" s="59">
        <v>2</v>
      </c>
      <c r="P456" s="59">
        <v>2</v>
      </c>
      <c r="Q456" s="59">
        <v>0</v>
      </c>
      <c r="R456" s="59">
        <v>8</v>
      </c>
      <c r="S456" s="35">
        <f t="shared" si="207"/>
        <v>45</v>
      </c>
      <c r="T456" s="59"/>
      <c r="U456" s="59">
        <v>7</v>
      </c>
      <c r="V456" s="59"/>
      <c r="W456" s="59">
        <v>0</v>
      </c>
      <c r="X456" s="62">
        <v>1</v>
      </c>
      <c r="Y456" s="10"/>
      <c r="Z456" s="61">
        <v>606208</v>
      </c>
      <c r="AA456" s="59"/>
      <c r="AB456" s="59"/>
      <c r="AC456" s="61">
        <v>758648</v>
      </c>
      <c r="AD456" s="59"/>
      <c r="AE456" s="35">
        <f t="shared" si="204"/>
        <v>758648</v>
      </c>
      <c r="AF456" s="10"/>
      <c r="AG456" s="61">
        <v>59</v>
      </c>
      <c r="AH456" s="59">
        <v>1</v>
      </c>
      <c r="AI456" s="59">
        <v>70</v>
      </c>
      <c r="AJ456" s="5"/>
      <c r="AK456" s="10"/>
      <c r="AL456" s="8"/>
      <c r="AM456" s="10"/>
      <c r="AN456" s="35"/>
      <c r="AO456" s="279"/>
      <c r="AP456" s="279"/>
      <c r="AQ456" s="281"/>
      <c r="AR456" s="59">
        <v>154</v>
      </c>
      <c r="AS456" s="59">
        <v>42</v>
      </c>
      <c r="AT456" s="59">
        <v>105</v>
      </c>
      <c r="AU456" s="59">
        <v>20</v>
      </c>
      <c r="AV456" s="62">
        <v>175</v>
      </c>
      <c r="AW456" s="10"/>
      <c r="AX456" s="326"/>
      <c r="AY456" s="5"/>
      <c r="AZ456" s="10"/>
      <c r="BA456" s="8"/>
      <c r="BB456" s="10"/>
      <c r="BC456" s="10"/>
      <c r="BD456" s="10"/>
      <c r="BE456" s="10"/>
      <c r="BF456" s="10"/>
      <c r="BG456" s="10"/>
      <c r="BH456" s="30"/>
      <c r="BI456" s="10"/>
      <c r="BJ456" s="338"/>
      <c r="BK456" s="342"/>
      <c r="BL456" s="320"/>
      <c r="BM456" s="5"/>
      <c r="BN456" s="10"/>
      <c r="BO456" s="8"/>
      <c r="BP456" s="5"/>
      <c r="BQ456" s="10"/>
      <c r="BR456" s="29">
        <v>2003</v>
      </c>
      <c r="BS456" s="64">
        <v>2003</v>
      </c>
      <c r="BT456" s="14">
        <v>4</v>
      </c>
      <c r="BU456" s="10"/>
      <c r="BV456" s="8">
        <v>4</v>
      </c>
      <c r="BW456" s="10">
        <v>0</v>
      </c>
      <c r="BX456" s="59">
        <v>0</v>
      </c>
      <c r="BY456" s="59"/>
      <c r="BZ456" s="59"/>
      <c r="CA456" s="59"/>
      <c r="CB456" s="59"/>
      <c r="CC456" s="221"/>
      <c r="CD456" s="59">
        <v>2</v>
      </c>
      <c r="CE456" s="317">
        <v>0</v>
      </c>
      <c r="CF456" s="59">
        <v>0</v>
      </c>
      <c r="CG456" s="10">
        <v>1</v>
      </c>
      <c r="CH456" s="10"/>
      <c r="CI456" s="59">
        <v>0</v>
      </c>
      <c r="CJ456" s="59">
        <v>0</v>
      </c>
      <c r="CK456" s="59"/>
      <c r="CL456" s="59"/>
      <c r="CM456" s="59">
        <v>0</v>
      </c>
      <c r="CN456" s="59"/>
      <c r="CO456" s="59">
        <v>13</v>
      </c>
      <c r="CP456" s="317"/>
      <c r="CQ456" s="59"/>
      <c r="CR456" s="59"/>
      <c r="CS456" s="59">
        <v>0</v>
      </c>
      <c r="CT456" s="59">
        <v>6</v>
      </c>
      <c r="CU456" s="59">
        <v>0</v>
      </c>
      <c r="CV456" s="59">
        <v>2</v>
      </c>
      <c r="CW456" s="59"/>
      <c r="CX456" s="59"/>
      <c r="CY456" s="59">
        <v>0</v>
      </c>
      <c r="CZ456" s="59"/>
      <c r="DA456" s="59"/>
      <c r="DB456" s="59">
        <v>0</v>
      </c>
      <c r="DC456" s="59"/>
      <c r="DD456" s="59"/>
      <c r="DE456" s="59"/>
      <c r="DF456" s="59"/>
      <c r="DG456" s="59">
        <v>6</v>
      </c>
      <c r="DH456" s="59">
        <v>0</v>
      </c>
      <c r="DI456" s="59">
        <v>3</v>
      </c>
      <c r="DJ456" s="59">
        <v>0</v>
      </c>
      <c r="DK456" s="59"/>
      <c r="DL456" s="59"/>
      <c r="DM456" s="59">
        <v>0</v>
      </c>
      <c r="DN456" s="59"/>
      <c r="DO456" s="59">
        <v>0</v>
      </c>
      <c r="DP456" s="59"/>
      <c r="DQ456" s="59"/>
      <c r="DR456" s="59"/>
      <c r="DS456" s="59">
        <v>0</v>
      </c>
      <c r="DT456" s="59">
        <v>0</v>
      </c>
      <c r="DU456" s="59">
        <v>8</v>
      </c>
      <c r="DV456" s="38">
        <f t="shared" si="205"/>
        <v>45</v>
      </c>
      <c r="DW456" s="14" t="str">
        <f t="shared" si="206"/>
        <v/>
      </c>
      <c r="DX456" s="369"/>
      <c r="DY456" s="369">
        <f t="shared" si="208"/>
        <v>45</v>
      </c>
    </row>
    <row r="457" spans="1:129" customFormat="1">
      <c r="A457" s="210">
        <v>37681</v>
      </c>
      <c r="B457" s="211"/>
      <c r="C457" s="61">
        <v>3</v>
      </c>
      <c r="D457" s="59">
        <v>9</v>
      </c>
      <c r="E457" s="59">
        <v>0</v>
      </c>
      <c r="F457" s="59">
        <v>0</v>
      </c>
      <c r="G457" s="59">
        <v>2</v>
      </c>
      <c r="H457" s="59">
        <v>1</v>
      </c>
      <c r="I457" s="59">
        <v>0</v>
      </c>
      <c r="J457" s="59">
        <v>5</v>
      </c>
      <c r="K457" s="59">
        <v>0</v>
      </c>
      <c r="L457" s="59">
        <v>0</v>
      </c>
      <c r="M457" s="59">
        <v>0</v>
      </c>
      <c r="N457" s="59">
        <v>0</v>
      </c>
      <c r="O457" s="59">
        <v>2</v>
      </c>
      <c r="P457" s="59">
        <v>2</v>
      </c>
      <c r="Q457" s="59">
        <v>0</v>
      </c>
      <c r="R457" s="59">
        <v>5</v>
      </c>
      <c r="S457" s="35">
        <f t="shared" si="207"/>
        <v>29</v>
      </c>
      <c r="T457" s="59"/>
      <c r="U457" s="59">
        <v>9</v>
      </c>
      <c r="V457" s="59"/>
      <c r="W457" s="59">
        <v>0</v>
      </c>
      <c r="X457" s="62">
        <v>0</v>
      </c>
      <c r="Y457" s="10"/>
      <c r="Z457" s="61">
        <v>436080</v>
      </c>
      <c r="AA457" s="59"/>
      <c r="AB457" s="59"/>
      <c r="AC457" s="61">
        <v>358648</v>
      </c>
      <c r="AD457" s="59"/>
      <c r="AE457" s="35">
        <f t="shared" si="204"/>
        <v>358648</v>
      </c>
      <c r="AF457" s="10"/>
      <c r="AG457" s="61">
        <v>36</v>
      </c>
      <c r="AH457" s="59">
        <v>1</v>
      </c>
      <c r="AI457" s="59">
        <v>48</v>
      </c>
      <c r="AJ457" s="5"/>
      <c r="AK457" s="10"/>
      <c r="AL457" s="8"/>
      <c r="AM457" s="10"/>
      <c r="AN457" s="35"/>
      <c r="AO457" s="279"/>
      <c r="AP457" s="279"/>
      <c r="AQ457" s="281"/>
      <c r="AR457" s="59">
        <v>154</v>
      </c>
      <c r="AS457" s="59">
        <v>42</v>
      </c>
      <c r="AT457" s="59">
        <v>108</v>
      </c>
      <c r="AU457" s="59">
        <v>20</v>
      </c>
      <c r="AV457" s="62">
        <v>178</v>
      </c>
      <c r="AW457" s="10"/>
      <c r="AX457" s="326"/>
      <c r="AY457" s="5"/>
      <c r="AZ457" s="10"/>
      <c r="BA457" s="61">
        <v>1721</v>
      </c>
      <c r="BB457" s="356">
        <v>30109156</v>
      </c>
      <c r="BC457" s="356"/>
      <c r="BD457" s="356"/>
      <c r="BE457" s="356">
        <v>36</v>
      </c>
      <c r="BF457" s="356">
        <v>2</v>
      </c>
      <c r="BG457" s="5">
        <v>3</v>
      </c>
      <c r="BH457" s="5"/>
      <c r="BI457" s="356">
        <v>1604187</v>
      </c>
      <c r="BJ457" s="342">
        <v>37690</v>
      </c>
      <c r="BK457" s="342">
        <v>37772</v>
      </c>
      <c r="BL457" s="320">
        <f>BK457-BJ457</f>
        <v>82</v>
      </c>
      <c r="BM457" s="5"/>
      <c r="BN457" s="10"/>
      <c r="BO457" s="8"/>
      <c r="BP457" s="5">
        <v>155</v>
      </c>
      <c r="BQ457" s="10"/>
      <c r="BR457" s="29">
        <v>2003</v>
      </c>
      <c r="BS457" s="64">
        <v>2003</v>
      </c>
      <c r="BT457" s="14">
        <v>5</v>
      </c>
      <c r="BU457" s="10"/>
      <c r="BV457" s="8">
        <v>0</v>
      </c>
      <c r="BW457" s="59">
        <v>0</v>
      </c>
      <c r="BX457" s="59">
        <v>0</v>
      </c>
      <c r="BY457" s="59"/>
      <c r="BZ457" s="59"/>
      <c r="CA457" s="59"/>
      <c r="CB457" s="59"/>
      <c r="CC457" s="221"/>
      <c r="CD457" s="59">
        <v>3</v>
      </c>
      <c r="CE457" s="317">
        <v>0</v>
      </c>
      <c r="CF457" s="59">
        <v>2</v>
      </c>
      <c r="CG457" s="59">
        <v>0</v>
      </c>
      <c r="CH457" s="59"/>
      <c r="CI457" s="59">
        <v>1</v>
      </c>
      <c r="CJ457" s="59">
        <v>0</v>
      </c>
      <c r="CK457" s="59"/>
      <c r="CL457" s="59"/>
      <c r="CM457" s="59">
        <v>0</v>
      </c>
      <c r="CN457" s="59"/>
      <c r="CO457" s="59">
        <v>2</v>
      </c>
      <c r="CP457" s="317"/>
      <c r="CQ457" s="59"/>
      <c r="CR457" s="59"/>
      <c r="CS457" s="59">
        <v>0</v>
      </c>
      <c r="CT457" s="59">
        <v>2</v>
      </c>
      <c r="CU457" s="59">
        <v>0</v>
      </c>
      <c r="CV457" s="59">
        <v>1</v>
      </c>
      <c r="CW457" s="59"/>
      <c r="CX457" s="59"/>
      <c r="CY457" s="59">
        <v>0</v>
      </c>
      <c r="CZ457" s="59"/>
      <c r="DA457" s="59"/>
      <c r="DB457" s="59">
        <v>6</v>
      </c>
      <c r="DC457" s="59"/>
      <c r="DD457" s="59"/>
      <c r="DE457" s="59"/>
      <c r="DF457" s="59"/>
      <c r="DG457" s="59">
        <v>0</v>
      </c>
      <c r="DH457" s="59">
        <v>1</v>
      </c>
      <c r="DI457" s="59">
        <v>1</v>
      </c>
      <c r="DJ457" s="59">
        <v>0</v>
      </c>
      <c r="DK457" s="59"/>
      <c r="DL457" s="59"/>
      <c r="DM457" s="59">
        <v>1</v>
      </c>
      <c r="DN457" s="59"/>
      <c r="DO457" s="59">
        <v>1</v>
      </c>
      <c r="DP457" s="59"/>
      <c r="DQ457" s="59"/>
      <c r="DR457" s="59"/>
      <c r="DS457" s="59">
        <v>2</v>
      </c>
      <c r="DT457" s="59">
        <v>1</v>
      </c>
      <c r="DU457" s="59">
        <v>5</v>
      </c>
      <c r="DV457" s="38">
        <f t="shared" si="205"/>
        <v>29</v>
      </c>
      <c r="DW457" s="14" t="str">
        <f t="shared" si="206"/>
        <v/>
      </c>
      <c r="DX457" s="369"/>
      <c r="DY457" s="369">
        <f t="shared" si="208"/>
        <v>29</v>
      </c>
    </row>
    <row r="458" spans="1:129" customFormat="1">
      <c r="A458" s="210">
        <v>37695</v>
      </c>
      <c r="B458" s="211"/>
      <c r="C458" s="61">
        <v>0</v>
      </c>
      <c r="D458" s="59">
        <v>7</v>
      </c>
      <c r="E458" s="59">
        <v>0</v>
      </c>
      <c r="F458" s="59">
        <v>0</v>
      </c>
      <c r="G458" s="59">
        <v>0</v>
      </c>
      <c r="H458" s="59">
        <v>0</v>
      </c>
      <c r="I458" s="59">
        <v>0</v>
      </c>
      <c r="J458" s="59">
        <v>3</v>
      </c>
      <c r="K458" s="59">
        <v>0</v>
      </c>
      <c r="L458" s="59">
        <v>0</v>
      </c>
      <c r="M458" s="59">
        <v>0</v>
      </c>
      <c r="N458" s="59">
        <v>0</v>
      </c>
      <c r="O458" s="59">
        <v>3</v>
      </c>
      <c r="P458" s="59">
        <v>0</v>
      </c>
      <c r="Q458" s="59">
        <v>0</v>
      </c>
      <c r="R458" s="59">
        <v>2</v>
      </c>
      <c r="S458" s="35">
        <f t="shared" si="207"/>
        <v>15</v>
      </c>
      <c r="T458" s="59"/>
      <c r="U458" s="59">
        <v>5</v>
      </c>
      <c r="V458" s="59"/>
      <c r="W458" s="59">
        <v>0</v>
      </c>
      <c r="X458" s="62">
        <v>0</v>
      </c>
      <c r="Y458" s="10"/>
      <c r="Z458" s="61">
        <v>641024</v>
      </c>
      <c r="AA458" s="59"/>
      <c r="AB458" s="59"/>
      <c r="AC458" s="61">
        <v>202949</v>
      </c>
      <c r="AD458" s="59"/>
      <c r="AE458" s="35">
        <f t="shared" si="204"/>
        <v>202949</v>
      </c>
      <c r="AF458" s="10"/>
      <c r="AG458" s="61">
        <v>16</v>
      </c>
      <c r="AH458" s="59">
        <v>17</v>
      </c>
      <c r="AI458" s="59">
        <v>40</v>
      </c>
      <c r="AJ458" s="5"/>
      <c r="AK458" s="10"/>
      <c r="AL458" s="8"/>
      <c r="AM458" s="10"/>
      <c r="AN458" s="35"/>
      <c r="AO458" s="279"/>
      <c r="AP458" s="279"/>
      <c r="AQ458" s="281"/>
      <c r="AR458" s="59">
        <v>154</v>
      </c>
      <c r="AS458" s="59"/>
      <c r="AT458" s="59"/>
      <c r="AU458" s="59"/>
      <c r="AV458" s="62"/>
      <c r="AW458" s="10"/>
      <c r="AX458" s="326"/>
      <c r="AY458" s="5"/>
      <c r="AZ458" s="10"/>
      <c r="BA458" s="61"/>
      <c r="BB458" s="356"/>
      <c r="BC458" s="356"/>
      <c r="BD458" s="356"/>
      <c r="BE458" s="356"/>
      <c r="BF458" s="356"/>
      <c r="BG458" s="5"/>
      <c r="BH458" s="5"/>
      <c r="BI458" s="356"/>
      <c r="BJ458" s="338"/>
      <c r="BK458" s="342"/>
      <c r="BL458" s="320"/>
      <c r="BM458" s="5"/>
      <c r="BN458" s="10"/>
      <c r="BO458" s="8"/>
      <c r="BP458" s="5"/>
      <c r="BQ458" s="10"/>
      <c r="BR458" s="29">
        <v>2003</v>
      </c>
      <c r="BS458" s="64">
        <v>2003</v>
      </c>
      <c r="BT458" s="14">
        <v>6</v>
      </c>
      <c r="BU458" s="10"/>
      <c r="BV458" s="8">
        <v>0</v>
      </c>
      <c r="BW458" s="59">
        <v>0</v>
      </c>
      <c r="BX458" s="59">
        <v>0</v>
      </c>
      <c r="BY458" s="59"/>
      <c r="BZ458" s="59"/>
      <c r="CA458" s="59"/>
      <c r="CB458" s="59"/>
      <c r="CC458" s="221"/>
      <c r="CD458" s="59">
        <v>1</v>
      </c>
      <c r="CE458" s="317">
        <v>0</v>
      </c>
      <c r="CF458" s="59">
        <v>0</v>
      </c>
      <c r="CG458" s="59">
        <v>1</v>
      </c>
      <c r="CH458" s="59"/>
      <c r="CI458" s="59">
        <v>0</v>
      </c>
      <c r="CJ458" s="59">
        <v>2</v>
      </c>
      <c r="CK458" s="59"/>
      <c r="CL458" s="59"/>
      <c r="CM458" s="59">
        <v>0</v>
      </c>
      <c r="CN458" s="59"/>
      <c r="CO458" s="59">
        <v>1</v>
      </c>
      <c r="CP458" s="317"/>
      <c r="CQ458" s="59"/>
      <c r="CR458" s="59"/>
      <c r="CS458" s="59">
        <v>0</v>
      </c>
      <c r="CT458" s="59">
        <v>5</v>
      </c>
      <c r="CU458" s="59">
        <v>0</v>
      </c>
      <c r="CV458" s="59">
        <v>1</v>
      </c>
      <c r="CW458" s="59"/>
      <c r="CX458" s="59"/>
      <c r="CY458" s="59">
        <v>0</v>
      </c>
      <c r="CZ458" s="59"/>
      <c r="DA458" s="59"/>
      <c r="DB458" s="59">
        <v>1</v>
      </c>
      <c r="DC458" s="59"/>
      <c r="DD458" s="59"/>
      <c r="DE458" s="59"/>
      <c r="DF458" s="59"/>
      <c r="DG458" s="59">
        <v>0</v>
      </c>
      <c r="DH458" s="59">
        <v>0</v>
      </c>
      <c r="DI458" s="59">
        <v>0</v>
      </c>
      <c r="DJ458" s="59">
        <v>0</v>
      </c>
      <c r="DK458" s="59"/>
      <c r="DL458" s="59"/>
      <c r="DM458" s="59">
        <v>0</v>
      </c>
      <c r="DN458" s="59"/>
      <c r="DO458" s="59">
        <v>0</v>
      </c>
      <c r="DP458" s="59"/>
      <c r="DQ458" s="59"/>
      <c r="DR458" s="59"/>
      <c r="DS458" s="59">
        <v>0</v>
      </c>
      <c r="DT458" s="59">
        <v>1</v>
      </c>
      <c r="DU458" s="59">
        <v>2</v>
      </c>
      <c r="DV458" s="38">
        <f t="shared" si="205"/>
        <v>15</v>
      </c>
      <c r="DW458" s="14" t="str">
        <f t="shared" si="206"/>
        <v/>
      </c>
      <c r="DX458" s="369"/>
      <c r="DY458" s="369">
        <f t="shared" si="208"/>
        <v>15</v>
      </c>
    </row>
    <row r="459" spans="1:129" customFormat="1">
      <c r="A459" s="210">
        <v>37712</v>
      </c>
      <c r="B459" s="211"/>
      <c r="C459" s="61">
        <v>0</v>
      </c>
      <c r="D459" s="59">
        <v>9</v>
      </c>
      <c r="E459" s="59">
        <v>0</v>
      </c>
      <c r="F459" s="59">
        <v>1</v>
      </c>
      <c r="G459" s="59">
        <v>0</v>
      </c>
      <c r="H459" s="59">
        <v>1</v>
      </c>
      <c r="I459" s="59">
        <v>0</v>
      </c>
      <c r="J459" s="59">
        <v>29</v>
      </c>
      <c r="K459" s="59">
        <v>3</v>
      </c>
      <c r="L459" s="59">
        <v>0</v>
      </c>
      <c r="M459" s="59">
        <v>0</v>
      </c>
      <c r="N459" s="59">
        <v>0</v>
      </c>
      <c r="O459" s="59">
        <v>4</v>
      </c>
      <c r="P459" s="59">
        <v>0</v>
      </c>
      <c r="Q459" s="59">
        <v>0</v>
      </c>
      <c r="R459" s="59">
        <v>2</v>
      </c>
      <c r="S459" s="35">
        <f t="shared" si="207"/>
        <v>49</v>
      </c>
      <c r="T459" s="59"/>
      <c r="U459" s="59">
        <v>8</v>
      </c>
      <c r="V459" s="59"/>
      <c r="W459" s="59">
        <v>0</v>
      </c>
      <c r="X459" s="62">
        <v>2</v>
      </c>
      <c r="Y459" s="10"/>
      <c r="Z459" s="61">
        <v>1523200</v>
      </c>
      <c r="AA459" s="59"/>
      <c r="AB459" s="59"/>
      <c r="AC459" s="61">
        <v>659198</v>
      </c>
      <c r="AD459" s="59"/>
      <c r="AE459" s="35">
        <f t="shared" si="204"/>
        <v>659198</v>
      </c>
      <c r="AF459" s="10"/>
      <c r="AG459" s="61">
        <v>88</v>
      </c>
      <c r="AH459" s="59">
        <v>24</v>
      </c>
      <c r="AI459" s="59">
        <v>128</v>
      </c>
      <c r="AJ459" s="5"/>
      <c r="AK459" s="10"/>
      <c r="AL459" s="8">
        <v>34</v>
      </c>
      <c r="AM459" s="59">
        <v>58</v>
      </c>
      <c r="AN459" s="35">
        <f>SUM(AL459:AM459)</f>
        <v>92</v>
      </c>
      <c r="AO459" s="279"/>
      <c r="AP459" s="279"/>
      <c r="AQ459" s="281"/>
      <c r="AR459" s="59">
        <v>155</v>
      </c>
      <c r="AS459" s="59">
        <v>41</v>
      </c>
      <c r="AT459" s="59">
        <v>106</v>
      </c>
      <c r="AU459" s="59">
        <v>19</v>
      </c>
      <c r="AV459" s="62">
        <v>174</v>
      </c>
      <c r="AW459" s="10"/>
      <c r="AX459" s="326"/>
      <c r="AY459" s="5"/>
      <c r="AZ459" s="10"/>
      <c r="BA459" s="61">
        <v>1725</v>
      </c>
      <c r="BB459" s="356">
        <v>30182446</v>
      </c>
      <c r="BC459" s="356"/>
      <c r="BD459" s="356"/>
      <c r="BE459" s="356">
        <v>71</v>
      </c>
      <c r="BF459" s="356">
        <v>6</v>
      </c>
      <c r="BG459" s="5">
        <v>2</v>
      </c>
      <c r="BH459" s="5"/>
      <c r="BI459" s="356">
        <v>1929276</v>
      </c>
      <c r="BJ459" s="342">
        <v>37721</v>
      </c>
      <c r="BK459" s="342">
        <v>37835</v>
      </c>
      <c r="BL459" s="320">
        <f>BK459-BJ459</f>
        <v>114</v>
      </c>
      <c r="BM459" s="5"/>
      <c r="BN459" s="10"/>
      <c r="BO459" s="8"/>
      <c r="BP459" s="5">
        <v>155</v>
      </c>
      <c r="BQ459" s="10"/>
      <c r="BR459" s="29">
        <v>2003</v>
      </c>
      <c r="BS459" s="64">
        <v>2003</v>
      </c>
      <c r="BT459" s="14">
        <v>7</v>
      </c>
      <c r="BU459" s="10"/>
      <c r="BV459" s="8">
        <v>0</v>
      </c>
      <c r="BW459" s="59">
        <v>1</v>
      </c>
      <c r="BX459" s="59">
        <v>0</v>
      </c>
      <c r="BY459" s="59"/>
      <c r="BZ459" s="59"/>
      <c r="CA459" s="59"/>
      <c r="CB459" s="59"/>
      <c r="CC459" s="221"/>
      <c r="CD459" s="59">
        <v>0</v>
      </c>
      <c r="CE459" s="317">
        <v>0</v>
      </c>
      <c r="CF459" s="59">
        <v>0</v>
      </c>
      <c r="CG459" s="59">
        <v>0</v>
      </c>
      <c r="CH459" s="59"/>
      <c r="CI459" s="59">
        <v>6</v>
      </c>
      <c r="CJ459" s="59">
        <v>20</v>
      </c>
      <c r="CK459" s="59"/>
      <c r="CL459" s="59"/>
      <c r="CM459" s="59">
        <v>0</v>
      </c>
      <c r="CN459" s="59"/>
      <c r="CO459" s="59">
        <v>2</v>
      </c>
      <c r="CP459" s="317"/>
      <c r="CQ459" s="59"/>
      <c r="CR459" s="59"/>
      <c r="CS459" s="59">
        <v>0</v>
      </c>
      <c r="CT459" s="59">
        <v>5</v>
      </c>
      <c r="CU459" s="59">
        <v>0</v>
      </c>
      <c r="CV459" s="59">
        <v>3</v>
      </c>
      <c r="CW459" s="59"/>
      <c r="CX459" s="59"/>
      <c r="CY459" s="59">
        <v>1</v>
      </c>
      <c r="CZ459" s="59"/>
      <c r="DA459" s="59"/>
      <c r="DB459" s="59">
        <v>0</v>
      </c>
      <c r="DC459" s="59"/>
      <c r="DD459" s="59"/>
      <c r="DE459" s="59"/>
      <c r="DF459" s="59"/>
      <c r="DG459" s="59">
        <v>4</v>
      </c>
      <c r="DH459" s="59">
        <v>2</v>
      </c>
      <c r="DI459" s="59">
        <v>1</v>
      </c>
      <c r="DJ459" s="59">
        <v>0</v>
      </c>
      <c r="DK459" s="59"/>
      <c r="DL459" s="59"/>
      <c r="DM459" s="59">
        <v>1</v>
      </c>
      <c r="DN459" s="59"/>
      <c r="DO459" s="59">
        <v>0</v>
      </c>
      <c r="DP459" s="59"/>
      <c r="DQ459" s="59"/>
      <c r="DR459" s="59"/>
      <c r="DS459" s="59">
        <v>0</v>
      </c>
      <c r="DT459" s="59">
        <v>1</v>
      </c>
      <c r="DU459" s="59">
        <v>2</v>
      </c>
      <c r="DV459" s="38">
        <f t="shared" si="205"/>
        <v>49</v>
      </c>
      <c r="DW459" s="14" t="str">
        <f t="shared" si="206"/>
        <v/>
      </c>
      <c r="DX459" s="369"/>
      <c r="DY459" s="369">
        <f t="shared" si="208"/>
        <v>49</v>
      </c>
    </row>
    <row r="460" spans="1:129" customFormat="1">
      <c r="A460" s="210">
        <v>37726</v>
      </c>
      <c r="B460" s="211"/>
      <c r="C460" s="61">
        <v>2</v>
      </c>
      <c r="D460" s="59">
        <v>14</v>
      </c>
      <c r="E460" s="59">
        <v>2</v>
      </c>
      <c r="F460" s="59">
        <v>1</v>
      </c>
      <c r="G460" s="59">
        <v>0</v>
      </c>
      <c r="H460" s="59">
        <v>0</v>
      </c>
      <c r="I460" s="59">
        <v>0</v>
      </c>
      <c r="J460" s="59">
        <v>2</v>
      </c>
      <c r="K460" s="59">
        <v>0</v>
      </c>
      <c r="L460" s="59">
        <v>0</v>
      </c>
      <c r="M460" s="59">
        <v>0</v>
      </c>
      <c r="N460" s="59">
        <v>0</v>
      </c>
      <c r="O460" s="59">
        <v>4</v>
      </c>
      <c r="P460" s="59">
        <v>1</v>
      </c>
      <c r="Q460" s="59">
        <v>0</v>
      </c>
      <c r="R460" s="59">
        <v>2</v>
      </c>
      <c r="S460" s="35">
        <f t="shared" si="207"/>
        <v>28</v>
      </c>
      <c r="T460" s="59"/>
      <c r="U460" s="59">
        <v>5</v>
      </c>
      <c r="V460" s="59"/>
      <c r="W460" s="59">
        <v>0</v>
      </c>
      <c r="X460" s="62">
        <v>1</v>
      </c>
      <c r="Y460" s="10"/>
      <c r="Z460" s="61">
        <v>1149952</v>
      </c>
      <c r="AA460" s="59"/>
      <c r="AB460" s="59"/>
      <c r="AC460" s="61">
        <v>306198</v>
      </c>
      <c r="AD460" s="59"/>
      <c r="AE460" s="35">
        <f t="shared" si="204"/>
        <v>306198</v>
      </c>
      <c r="AF460" s="10"/>
      <c r="AG460" s="61">
        <v>38</v>
      </c>
      <c r="AH460" s="59">
        <v>26</v>
      </c>
      <c r="AI460" s="59">
        <v>78</v>
      </c>
      <c r="AJ460" s="5"/>
      <c r="AK460" s="10"/>
      <c r="AL460" s="8">
        <v>0</v>
      </c>
      <c r="AM460" s="10">
        <v>58</v>
      </c>
      <c r="AN460" s="35">
        <f>SUM(AL460:AM460)</f>
        <v>58</v>
      </c>
      <c r="AO460" s="279"/>
      <c r="AP460" s="279"/>
      <c r="AQ460" s="281"/>
      <c r="AR460" s="59">
        <v>156</v>
      </c>
      <c r="AS460" s="59">
        <v>41</v>
      </c>
      <c r="AT460" s="59">
        <v>108</v>
      </c>
      <c r="AU460" s="59">
        <v>19</v>
      </c>
      <c r="AV460" s="62">
        <v>174</v>
      </c>
      <c r="AW460" s="10"/>
      <c r="AX460" s="326"/>
      <c r="AY460" s="5"/>
      <c r="AZ460" s="10"/>
      <c r="BA460" s="61"/>
      <c r="BB460" s="10"/>
      <c r="BC460" s="10"/>
      <c r="BD460" s="10"/>
      <c r="BE460" s="10"/>
      <c r="BF460" s="10"/>
      <c r="BG460" s="10"/>
      <c r="BH460" s="30"/>
      <c r="BI460" s="10"/>
      <c r="BJ460" s="338"/>
      <c r="BK460" s="342"/>
      <c r="BL460" s="320"/>
      <c r="BM460" s="5"/>
      <c r="BN460" s="10"/>
      <c r="BO460" s="8"/>
      <c r="BP460" s="5"/>
      <c r="BQ460" s="10"/>
      <c r="BR460" s="29">
        <v>2003</v>
      </c>
      <c r="BS460" s="64">
        <v>2003</v>
      </c>
      <c r="BT460" s="14">
        <v>8</v>
      </c>
      <c r="BU460" s="10"/>
      <c r="BV460" s="8">
        <v>5</v>
      </c>
      <c r="BW460" s="59">
        <v>0</v>
      </c>
      <c r="BX460" s="59">
        <v>0</v>
      </c>
      <c r="BY460" s="59"/>
      <c r="BZ460" s="59"/>
      <c r="CA460" s="59"/>
      <c r="CB460" s="59"/>
      <c r="CC460" s="221"/>
      <c r="CD460" s="59">
        <v>3</v>
      </c>
      <c r="CE460" s="317">
        <v>0</v>
      </c>
      <c r="CF460" s="59">
        <v>0</v>
      </c>
      <c r="CG460" s="59">
        <v>0</v>
      </c>
      <c r="CH460" s="59"/>
      <c r="CI460" s="59">
        <v>0</v>
      </c>
      <c r="CJ460" s="59">
        <v>1</v>
      </c>
      <c r="CK460" s="59"/>
      <c r="CL460" s="59"/>
      <c r="CM460" s="59">
        <v>0</v>
      </c>
      <c r="CN460" s="59"/>
      <c r="CO460" s="59">
        <v>4</v>
      </c>
      <c r="CP460" s="317"/>
      <c r="CQ460" s="59"/>
      <c r="CR460" s="59"/>
      <c r="CS460" s="59">
        <v>0</v>
      </c>
      <c r="CT460" s="59">
        <v>0</v>
      </c>
      <c r="CU460" s="59">
        <v>0</v>
      </c>
      <c r="CV460" s="59">
        <v>5</v>
      </c>
      <c r="CW460" s="59"/>
      <c r="CX460" s="59"/>
      <c r="CY460" s="59">
        <v>0</v>
      </c>
      <c r="CZ460" s="59"/>
      <c r="DA460" s="59"/>
      <c r="DB460" s="59">
        <v>2</v>
      </c>
      <c r="DC460" s="59"/>
      <c r="DD460" s="59"/>
      <c r="DE460" s="59"/>
      <c r="DF460" s="59"/>
      <c r="DG460" s="59">
        <v>2</v>
      </c>
      <c r="DH460" s="59">
        <v>0</v>
      </c>
      <c r="DI460" s="59">
        <v>1</v>
      </c>
      <c r="DJ460" s="59">
        <v>0</v>
      </c>
      <c r="DK460" s="59"/>
      <c r="DL460" s="59"/>
      <c r="DM460" s="59">
        <v>0</v>
      </c>
      <c r="DN460" s="59"/>
      <c r="DO460" s="59">
        <v>0</v>
      </c>
      <c r="DP460" s="59"/>
      <c r="DQ460" s="59"/>
      <c r="DR460" s="59"/>
      <c r="DS460" s="59">
        <v>1</v>
      </c>
      <c r="DT460" s="59">
        <v>2</v>
      </c>
      <c r="DU460" s="59">
        <v>2</v>
      </c>
      <c r="DV460" s="38">
        <f t="shared" si="205"/>
        <v>28</v>
      </c>
      <c r="DW460" s="14" t="str">
        <f t="shared" si="206"/>
        <v/>
      </c>
      <c r="DX460" s="369"/>
      <c r="DY460" s="369">
        <f t="shared" si="208"/>
        <v>28</v>
      </c>
    </row>
    <row r="461" spans="1:129" customFormat="1">
      <c r="A461" s="210">
        <v>37742</v>
      </c>
      <c r="B461" s="211"/>
      <c r="C461" s="61">
        <v>4</v>
      </c>
      <c r="D461" s="59">
        <v>21</v>
      </c>
      <c r="E461" s="59">
        <v>1</v>
      </c>
      <c r="F461" s="59">
        <v>0</v>
      </c>
      <c r="G461" s="59">
        <v>1</v>
      </c>
      <c r="H461" s="59">
        <v>2</v>
      </c>
      <c r="I461" s="59">
        <v>0</v>
      </c>
      <c r="J461" s="59">
        <v>9</v>
      </c>
      <c r="K461" s="59">
        <v>0</v>
      </c>
      <c r="L461" s="59">
        <v>0</v>
      </c>
      <c r="M461" s="59">
        <v>0</v>
      </c>
      <c r="N461" s="59">
        <v>0</v>
      </c>
      <c r="O461" s="59">
        <v>0</v>
      </c>
      <c r="P461" s="59">
        <v>0</v>
      </c>
      <c r="Q461" s="59">
        <v>0</v>
      </c>
      <c r="R461" s="59">
        <v>0</v>
      </c>
      <c r="S461" s="35">
        <f t="shared" si="207"/>
        <v>38</v>
      </c>
      <c r="T461" s="59"/>
      <c r="U461" s="59">
        <v>14</v>
      </c>
      <c r="V461" s="59"/>
      <c r="W461" s="59">
        <v>0</v>
      </c>
      <c r="X461" s="62">
        <v>0</v>
      </c>
      <c r="Y461" s="59"/>
      <c r="Z461" s="61">
        <v>2018304</v>
      </c>
      <c r="AA461" s="59"/>
      <c r="AB461" s="59"/>
      <c r="AC461" s="61">
        <v>1035233</v>
      </c>
      <c r="AD461" s="59"/>
      <c r="AE461" s="35">
        <f t="shared" si="204"/>
        <v>1035233</v>
      </c>
      <c r="AF461" s="10"/>
      <c r="AG461" s="61">
        <v>135</v>
      </c>
      <c r="AH461" s="59">
        <v>28</v>
      </c>
      <c r="AI461" s="59">
        <v>174</v>
      </c>
      <c r="AJ461" s="5"/>
      <c r="AK461" s="10"/>
      <c r="AL461" s="8"/>
      <c r="AM461" s="10"/>
      <c r="AN461" s="35"/>
      <c r="AO461" s="279"/>
      <c r="AP461" s="279"/>
      <c r="AQ461" s="281"/>
      <c r="AR461" s="59">
        <v>156</v>
      </c>
      <c r="AS461" s="59"/>
      <c r="AT461" s="59"/>
      <c r="AU461" s="59"/>
      <c r="AV461" s="62"/>
      <c r="AW461" s="10"/>
      <c r="AX461" s="326"/>
      <c r="AY461" s="5"/>
      <c r="AZ461" s="10"/>
      <c r="BA461" s="61">
        <v>1725</v>
      </c>
      <c r="BB461" s="102">
        <v>30125919</v>
      </c>
      <c r="BC461" s="59"/>
      <c r="BD461" s="59"/>
      <c r="BE461" s="59">
        <v>43</v>
      </c>
      <c r="BF461" s="59">
        <v>0</v>
      </c>
      <c r="BG461" s="59">
        <v>0</v>
      </c>
      <c r="BH461" s="351"/>
      <c r="BI461" s="59">
        <v>969096</v>
      </c>
      <c r="BJ461" s="342">
        <v>37751</v>
      </c>
      <c r="BK461" s="342">
        <v>37854</v>
      </c>
      <c r="BL461" s="320">
        <f>BK461-BJ461</f>
        <v>103</v>
      </c>
      <c r="BM461" s="5"/>
      <c r="BN461" s="10"/>
      <c r="BO461" s="8"/>
      <c r="BP461" s="5">
        <v>155</v>
      </c>
      <c r="BQ461" s="10"/>
      <c r="BR461" s="29">
        <v>2003</v>
      </c>
      <c r="BS461" s="64">
        <v>2003</v>
      </c>
      <c r="BT461" s="14">
        <v>9</v>
      </c>
      <c r="BU461" s="10"/>
      <c r="BV461" s="8">
        <v>0</v>
      </c>
      <c r="BW461" s="59">
        <v>0</v>
      </c>
      <c r="BX461" s="59">
        <v>0</v>
      </c>
      <c r="BY461" s="59"/>
      <c r="BZ461" s="59"/>
      <c r="CA461" s="59"/>
      <c r="CB461" s="59"/>
      <c r="CC461" s="221"/>
      <c r="CD461" s="59">
        <v>7</v>
      </c>
      <c r="CE461" s="317">
        <v>0</v>
      </c>
      <c r="CF461" s="59">
        <v>0</v>
      </c>
      <c r="CG461" s="59">
        <v>0</v>
      </c>
      <c r="CH461" s="59"/>
      <c r="CI461" s="59">
        <v>1</v>
      </c>
      <c r="CJ461" s="59">
        <v>2</v>
      </c>
      <c r="CK461" s="59"/>
      <c r="CL461" s="59"/>
      <c r="CM461" s="59">
        <v>0</v>
      </c>
      <c r="CN461" s="59"/>
      <c r="CO461" s="59">
        <v>4</v>
      </c>
      <c r="CP461" s="317"/>
      <c r="CQ461" s="59"/>
      <c r="CR461" s="59"/>
      <c r="CS461" s="59">
        <v>0</v>
      </c>
      <c r="CT461" s="59">
        <v>1</v>
      </c>
      <c r="CU461" s="59">
        <v>0</v>
      </c>
      <c r="CV461" s="59">
        <v>3</v>
      </c>
      <c r="CW461" s="59"/>
      <c r="CX461" s="59"/>
      <c r="CY461" s="59">
        <v>2</v>
      </c>
      <c r="CZ461" s="59"/>
      <c r="DA461" s="59"/>
      <c r="DB461" s="59">
        <v>8</v>
      </c>
      <c r="DC461" s="59"/>
      <c r="DD461" s="59"/>
      <c r="DE461" s="59"/>
      <c r="DF461" s="59"/>
      <c r="DG461" s="59">
        <v>0</v>
      </c>
      <c r="DH461" s="59">
        <v>5</v>
      </c>
      <c r="DI461" s="59">
        <v>3</v>
      </c>
      <c r="DJ461" s="59">
        <v>2</v>
      </c>
      <c r="DK461" s="59"/>
      <c r="DL461" s="59"/>
      <c r="DM461" s="59">
        <v>0</v>
      </c>
      <c r="DN461" s="59"/>
      <c r="DO461" s="59">
        <v>0</v>
      </c>
      <c r="DP461" s="59"/>
      <c r="DQ461" s="59"/>
      <c r="DR461" s="59"/>
      <c r="DS461" s="59">
        <v>0</v>
      </c>
      <c r="DT461" s="59">
        <v>0</v>
      </c>
      <c r="DU461" s="59">
        <v>0</v>
      </c>
      <c r="DV461" s="38">
        <f t="shared" si="205"/>
        <v>38</v>
      </c>
      <c r="DW461" s="14" t="str">
        <f t="shared" si="206"/>
        <v/>
      </c>
      <c r="DX461" s="369"/>
      <c r="DY461" s="369">
        <f t="shared" si="208"/>
        <v>38</v>
      </c>
    </row>
    <row r="462" spans="1:129" customFormat="1">
      <c r="A462" s="210">
        <v>37756</v>
      </c>
      <c r="B462" s="211"/>
      <c r="C462" s="61">
        <v>4</v>
      </c>
      <c r="D462" s="59">
        <v>31</v>
      </c>
      <c r="E462" s="59">
        <v>0</v>
      </c>
      <c r="F462" s="59">
        <v>0</v>
      </c>
      <c r="G462" s="59">
        <v>3</v>
      </c>
      <c r="H462" s="59">
        <v>0</v>
      </c>
      <c r="I462" s="59">
        <v>0</v>
      </c>
      <c r="J462" s="59">
        <v>8</v>
      </c>
      <c r="K462" s="59">
        <v>0</v>
      </c>
      <c r="L462" s="59">
        <v>0</v>
      </c>
      <c r="M462" s="59">
        <v>0</v>
      </c>
      <c r="N462" s="59">
        <v>0</v>
      </c>
      <c r="O462" s="59">
        <v>12</v>
      </c>
      <c r="P462" s="59">
        <v>0</v>
      </c>
      <c r="Q462" s="59">
        <v>0</v>
      </c>
      <c r="R462" s="59">
        <v>10</v>
      </c>
      <c r="S462" s="35">
        <f t="shared" si="207"/>
        <v>68</v>
      </c>
      <c r="T462" s="59"/>
      <c r="U462" s="59">
        <v>19</v>
      </c>
      <c r="V462" s="59"/>
      <c r="W462" s="59">
        <v>0</v>
      </c>
      <c r="X462" s="62">
        <v>0</v>
      </c>
      <c r="Y462" s="59"/>
      <c r="Z462" s="61">
        <v>2847840</v>
      </c>
      <c r="AA462" s="59"/>
      <c r="AB462" s="59"/>
      <c r="AC462" s="61">
        <v>1689757</v>
      </c>
      <c r="AD462" s="59"/>
      <c r="AE462" s="35">
        <f t="shared" si="204"/>
        <v>1689757</v>
      </c>
      <c r="AF462" s="10"/>
      <c r="AG462" s="61">
        <v>146</v>
      </c>
      <c r="AH462" s="59">
        <v>30</v>
      </c>
      <c r="AI462" s="59">
        <v>190</v>
      </c>
      <c r="AJ462" s="5"/>
      <c r="AK462" s="10"/>
      <c r="AL462" s="8"/>
      <c r="AM462" s="10"/>
      <c r="AN462" s="35"/>
      <c r="AO462" s="279"/>
      <c r="AP462" s="279"/>
      <c r="AQ462" s="281"/>
      <c r="AR462" s="59">
        <v>156</v>
      </c>
      <c r="AS462" s="59">
        <v>41</v>
      </c>
      <c r="AT462" s="59">
        <v>108</v>
      </c>
      <c r="AU462" s="59">
        <v>19</v>
      </c>
      <c r="AV462" s="62">
        <v>176</v>
      </c>
      <c r="AW462" s="10"/>
      <c r="AX462" s="326"/>
      <c r="AY462" s="5"/>
      <c r="AZ462" s="10"/>
      <c r="BA462" s="8"/>
      <c r="BB462" s="10"/>
      <c r="BC462" s="10"/>
      <c r="BD462" s="10"/>
      <c r="BE462" s="10"/>
      <c r="BF462" s="10"/>
      <c r="BG462" s="10"/>
      <c r="BH462" s="30"/>
      <c r="BI462" s="10"/>
      <c r="BJ462" s="338"/>
      <c r="BK462" s="338"/>
      <c r="BL462" s="320"/>
      <c r="BM462" s="5"/>
      <c r="BN462" s="10"/>
      <c r="BO462" s="8"/>
      <c r="BP462" s="5"/>
      <c r="BQ462" s="10"/>
      <c r="BR462" s="29">
        <v>2003</v>
      </c>
      <c r="BS462" s="64">
        <v>2003</v>
      </c>
      <c r="BT462" s="14">
        <v>10</v>
      </c>
      <c r="BU462" s="10"/>
      <c r="BV462" s="8">
        <v>5</v>
      </c>
      <c r="BW462" s="59">
        <v>0</v>
      </c>
      <c r="BX462" s="59">
        <v>0</v>
      </c>
      <c r="BY462" s="59"/>
      <c r="BZ462" s="59"/>
      <c r="CA462" s="59"/>
      <c r="CB462" s="59"/>
      <c r="CC462" s="221"/>
      <c r="CD462" s="59">
        <v>4</v>
      </c>
      <c r="CE462" s="317">
        <v>0</v>
      </c>
      <c r="CF462" s="59">
        <v>2</v>
      </c>
      <c r="CG462" s="59">
        <v>0</v>
      </c>
      <c r="CH462" s="59"/>
      <c r="CI462" s="59">
        <v>8</v>
      </c>
      <c r="CJ462" s="59">
        <v>5</v>
      </c>
      <c r="CK462" s="59"/>
      <c r="CL462" s="59"/>
      <c r="CM462" s="59">
        <v>0</v>
      </c>
      <c r="CN462" s="59"/>
      <c r="CO462" s="59">
        <v>2</v>
      </c>
      <c r="CP462" s="317"/>
      <c r="CQ462" s="59"/>
      <c r="CR462" s="59"/>
      <c r="CS462" s="59">
        <v>15</v>
      </c>
      <c r="CT462" s="59">
        <v>2</v>
      </c>
      <c r="CU462" s="59">
        <v>0</v>
      </c>
      <c r="CV462" s="59">
        <v>3</v>
      </c>
      <c r="CW462" s="59"/>
      <c r="CX462" s="59"/>
      <c r="CY462" s="59">
        <v>0</v>
      </c>
      <c r="CZ462" s="59"/>
      <c r="DA462" s="59"/>
      <c r="DB462" s="59">
        <v>3</v>
      </c>
      <c r="DC462" s="59"/>
      <c r="DD462" s="59"/>
      <c r="DE462" s="59"/>
      <c r="DF462" s="59"/>
      <c r="DG462" s="59">
        <v>1</v>
      </c>
      <c r="DH462" s="59">
        <v>1</v>
      </c>
      <c r="DI462" s="59">
        <v>0</v>
      </c>
      <c r="DJ462" s="59">
        <v>0</v>
      </c>
      <c r="DK462" s="59"/>
      <c r="DL462" s="59"/>
      <c r="DM462" s="59">
        <v>0</v>
      </c>
      <c r="DN462" s="59"/>
      <c r="DO462" s="59">
        <v>1</v>
      </c>
      <c r="DP462" s="59"/>
      <c r="DQ462" s="59"/>
      <c r="DR462" s="59"/>
      <c r="DS462" s="59">
        <v>6</v>
      </c>
      <c r="DT462" s="59">
        <v>0</v>
      </c>
      <c r="DU462" s="59">
        <v>10</v>
      </c>
      <c r="DV462" s="38">
        <f t="shared" si="205"/>
        <v>68</v>
      </c>
      <c r="DW462" s="14" t="str">
        <f t="shared" si="206"/>
        <v/>
      </c>
      <c r="DX462" s="369"/>
      <c r="DY462" s="369">
        <f t="shared" si="208"/>
        <v>68</v>
      </c>
    </row>
    <row r="463" spans="1:129" customFormat="1">
      <c r="A463" s="210">
        <v>37773</v>
      </c>
      <c r="B463" s="211"/>
      <c r="C463" s="8">
        <v>0</v>
      </c>
      <c r="D463" s="59">
        <v>24</v>
      </c>
      <c r="E463" s="59">
        <v>0</v>
      </c>
      <c r="F463" s="59">
        <v>1</v>
      </c>
      <c r="G463" s="59">
        <v>0</v>
      </c>
      <c r="H463" s="59">
        <v>11</v>
      </c>
      <c r="I463" s="59">
        <v>0</v>
      </c>
      <c r="J463" s="59">
        <v>5</v>
      </c>
      <c r="K463" s="59">
        <v>0</v>
      </c>
      <c r="L463" s="59">
        <v>0</v>
      </c>
      <c r="M463" s="59">
        <v>0</v>
      </c>
      <c r="N463" s="59">
        <v>0</v>
      </c>
      <c r="O463" s="59">
        <v>4</v>
      </c>
      <c r="P463" s="59">
        <v>0</v>
      </c>
      <c r="Q463" s="59">
        <v>1</v>
      </c>
      <c r="R463" s="59">
        <v>2</v>
      </c>
      <c r="S463" s="35">
        <f t="shared" si="207"/>
        <v>48</v>
      </c>
      <c r="T463" s="59"/>
      <c r="U463" s="59">
        <v>26</v>
      </c>
      <c r="V463" s="59"/>
      <c r="W463" s="59">
        <v>0</v>
      </c>
      <c r="X463" s="5">
        <v>0</v>
      </c>
      <c r="Y463" s="10"/>
      <c r="Z463" s="61">
        <v>1852928</v>
      </c>
      <c r="AA463" s="59"/>
      <c r="AB463" s="59"/>
      <c r="AC463" s="61">
        <v>1796208</v>
      </c>
      <c r="AD463" s="59"/>
      <c r="AE463" s="35">
        <f t="shared" si="204"/>
        <v>1796208</v>
      </c>
      <c r="AF463" s="10"/>
      <c r="AG463" s="8">
        <v>92</v>
      </c>
      <c r="AH463" s="59">
        <v>34</v>
      </c>
      <c r="AI463" s="59">
        <v>140</v>
      </c>
      <c r="AJ463" s="5"/>
      <c r="AK463" s="10"/>
      <c r="AL463" s="8"/>
      <c r="AM463" s="10"/>
      <c r="AN463" s="35"/>
      <c r="AO463" s="279"/>
      <c r="AP463" s="279"/>
      <c r="AQ463" s="281"/>
      <c r="AR463" s="59">
        <v>158</v>
      </c>
      <c r="AS463" s="59">
        <v>41</v>
      </c>
      <c r="AT463" s="59">
        <v>109</v>
      </c>
      <c r="AU463" s="59">
        <v>19</v>
      </c>
      <c r="AV463" s="62">
        <v>177</v>
      </c>
      <c r="AW463" s="10"/>
      <c r="AX463" s="326"/>
      <c r="AY463" s="5"/>
      <c r="AZ463" s="10"/>
      <c r="BA463" s="61">
        <v>1729</v>
      </c>
      <c r="BB463" s="59">
        <v>30047446</v>
      </c>
      <c r="BC463" s="59"/>
      <c r="BD463" s="59"/>
      <c r="BE463" s="59">
        <v>45</v>
      </c>
      <c r="BF463" s="59">
        <v>5</v>
      </c>
      <c r="BG463" s="59">
        <v>1</v>
      </c>
      <c r="BH463" s="351"/>
      <c r="BI463" s="59">
        <v>1197596</v>
      </c>
      <c r="BJ463" s="342">
        <v>37782</v>
      </c>
      <c r="BK463" s="342">
        <v>37862</v>
      </c>
      <c r="BL463" s="320">
        <f>BK463-BJ463</f>
        <v>80</v>
      </c>
      <c r="BM463" s="5"/>
      <c r="BN463" s="10"/>
      <c r="BO463" s="8"/>
      <c r="BP463" s="5">
        <v>155</v>
      </c>
      <c r="BQ463" s="10"/>
      <c r="BR463" s="29">
        <v>2003</v>
      </c>
      <c r="BS463" s="64">
        <v>2003</v>
      </c>
      <c r="BT463" s="14">
        <v>11</v>
      </c>
      <c r="BU463" s="10"/>
      <c r="BV463" s="8">
        <v>0</v>
      </c>
      <c r="BW463" s="59">
        <v>0</v>
      </c>
      <c r="BX463" s="59">
        <v>0</v>
      </c>
      <c r="BY463" s="59"/>
      <c r="BZ463" s="59"/>
      <c r="CA463" s="59"/>
      <c r="CB463" s="59"/>
      <c r="CC463" s="221"/>
      <c r="CD463" s="59">
        <v>2</v>
      </c>
      <c r="CE463" s="317">
        <v>0</v>
      </c>
      <c r="CF463" s="59">
        <v>0</v>
      </c>
      <c r="CG463" s="59">
        <v>0</v>
      </c>
      <c r="CH463" s="59"/>
      <c r="CI463" s="59">
        <v>0</v>
      </c>
      <c r="CJ463" s="59">
        <v>5</v>
      </c>
      <c r="CK463" s="59"/>
      <c r="CL463" s="59"/>
      <c r="CM463" s="59">
        <v>0</v>
      </c>
      <c r="CN463" s="59"/>
      <c r="CO463" s="59">
        <v>7</v>
      </c>
      <c r="CP463" s="317"/>
      <c r="CQ463" s="59"/>
      <c r="CR463" s="59"/>
      <c r="CS463" s="59">
        <v>0</v>
      </c>
      <c r="CT463" s="59">
        <v>13</v>
      </c>
      <c r="CU463" s="59">
        <v>0</v>
      </c>
      <c r="CV463" s="59">
        <v>2</v>
      </c>
      <c r="CW463" s="59"/>
      <c r="CX463" s="59"/>
      <c r="CY463" s="59">
        <v>1</v>
      </c>
      <c r="CZ463" s="59"/>
      <c r="DA463" s="59"/>
      <c r="DB463" s="59">
        <v>11</v>
      </c>
      <c r="DC463" s="59"/>
      <c r="DD463" s="59"/>
      <c r="DE463" s="59"/>
      <c r="DF463" s="59"/>
      <c r="DG463" s="59">
        <v>5</v>
      </c>
      <c r="DH463" s="59">
        <v>0</v>
      </c>
      <c r="DI463" s="59">
        <v>0</v>
      </c>
      <c r="DJ463" s="59">
        <v>0</v>
      </c>
      <c r="DK463" s="59"/>
      <c r="DL463" s="59"/>
      <c r="DM463" s="59">
        <v>0</v>
      </c>
      <c r="DN463" s="59"/>
      <c r="DO463" s="59">
        <v>0</v>
      </c>
      <c r="DP463" s="59"/>
      <c r="DQ463" s="59"/>
      <c r="DR463" s="59"/>
      <c r="DS463" s="59">
        <v>0</v>
      </c>
      <c r="DT463" s="59">
        <v>0</v>
      </c>
      <c r="DU463" s="59">
        <v>2</v>
      </c>
      <c r="DV463" s="38">
        <f t="shared" si="205"/>
        <v>48</v>
      </c>
      <c r="DW463" s="14" t="str">
        <f t="shared" si="206"/>
        <v/>
      </c>
      <c r="DX463" s="369"/>
      <c r="DY463" s="369">
        <f t="shared" si="208"/>
        <v>48</v>
      </c>
    </row>
    <row r="464" spans="1:129" customFormat="1">
      <c r="A464" s="210">
        <v>37787</v>
      </c>
      <c r="B464" s="211"/>
      <c r="C464" s="8">
        <v>4</v>
      </c>
      <c r="D464" s="59">
        <v>12</v>
      </c>
      <c r="E464" s="59">
        <v>0</v>
      </c>
      <c r="F464" s="59">
        <v>0</v>
      </c>
      <c r="G464" s="59">
        <v>1</v>
      </c>
      <c r="H464" s="59">
        <v>2</v>
      </c>
      <c r="I464" s="59">
        <v>0</v>
      </c>
      <c r="J464" s="59">
        <v>21</v>
      </c>
      <c r="K464" s="59">
        <v>0</v>
      </c>
      <c r="L464" s="59">
        <v>0</v>
      </c>
      <c r="M464" s="59">
        <v>0</v>
      </c>
      <c r="N464" s="59">
        <v>0</v>
      </c>
      <c r="O464" s="59">
        <v>5</v>
      </c>
      <c r="P464" s="59">
        <v>1</v>
      </c>
      <c r="Q464" s="59">
        <v>0</v>
      </c>
      <c r="R464" s="59">
        <v>4</v>
      </c>
      <c r="S464" s="35">
        <f>SUM(C464:R464)</f>
        <v>50</v>
      </c>
      <c r="T464" s="59"/>
      <c r="U464" s="59">
        <v>10</v>
      </c>
      <c r="V464" s="59"/>
      <c r="W464" s="59">
        <v>0</v>
      </c>
      <c r="X464" s="5">
        <v>1</v>
      </c>
      <c r="Y464" s="10"/>
      <c r="Z464" s="61">
        <v>1810432</v>
      </c>
      <c r="AA464" s="59"/>
      <c r="AB464" s="59"/>
      <c r="AC464" s="61">
        <v>636842</v>
      </c>
      <c r="AD464" s="59"/>
      <c r="AE464" s="35">
        <f t="shared" si="204"/>
        <v>636842</v>
      </c>
      <c r="AF464" s="10"/>
      <c r="AG464" s="8">
        <v>77</v>
      </c>
      <c r="AH464" s="59">
        <v>38</v>
      </c>
      <c r="AI464" s="59">
        <v>126</v>
      </c>
      <c r="AJ464" s="5"/>
      <c r="AK464" s="10"/>
      <c r="AL464" s="8"/>
      <c r="AM464" s="10"/>
      <c r="AN464" s="35"/>
      <c r="AO464" s="279"/>
      <c r="AP464" s="279"/>
      <c r="AQ464" s="281"/>
      <c r="AR464" s="59">
        <v>158</v>
      </c>
      <c r="AS464" s="59">
        <v>41</v>
      </c>
      <c r="AT464" s="59">
        <v>102</v>
      </c>
      <c r="AU464" s="59">
        <v>19</v>
      </c>
      <c r="AV464" s="62">
        <v>178</v>
      </c>
      <c r="AW464" s="10"/>
      <c r="AX464" s="326"/>
      <c r="AY464" s="5"/>
      <c r="AZ464" s="10"/>
      <c r="BA464" s="8"/>
      <c r="BB464" s="10"/>
      <c r="BC464" s="10"/>
      <c r="BD464" s="10"/>
      <c r="BE464" s="10"/>
      <c r="BF464" s="10"/>
      <c r="BG464" s="10"/>
      <c r="BH464" s="30"/>
      <c r="BI464" s="10"/>
      <c r="BJ464" s="338"/>
      <c r="BK464" s="338"/>
      <c r="BL464" s="320"/>
      <c r="BM464" s="5"/>
      <c r="BN464" s="10"/>
      <c r="BO464" s="8"/>
      <c r="BP464" s="5"/>
      <c r="BQ464" s="10"/>
      <c r="BR464" s="29">
        <v>2003</v>
      </c>
      <c r="BS464" s="64">
        <v>2003</v>
      </c>
      <c r="BT464" s="14">
        <v>12</v>
      </c>
      <c r="BU464" s="10"/>
      <c r="BV464" s="8">
        <v>0</v>
      </c>
      <c r="BW464" s="59">
        <v>0</v>
      </c>
      <c r="BX464" s="10">
        <v>13</v>
      </c>
      <c r="BY464" s="10"/>
      <c r="BZ464" s="10"/>
      <c r="CA464" s="10"/>
      <c r="CB464" s="10"/>
      <c r="CC464" s="221"/>
      <c r="CD464" s="59">
        <v>6</v>
      </c>
      <c r="CE464" s="317">
        <v>0</v>
      </c>
      <c r="CF464" s="59">
        <v>0</v>
      </c>
      <c r="CG464" s="59">
        <v>0</v>
      </c>
      <c r="CH464" s="59"/>
      <c r="CI464" s="59">
        <v>0</v>
      </c>
      <c r="CJ464" s="59">
        <v>0</v>
      </c>
      <c r="CK464" s="59"/>
      <c r="CL464" s="59"/>
      <c r="CM464" s="59">
        <v>0</v>
      </c>
      <c r="CN464" s="59"/>
      <c r="CO464" s="59">
        <v>4</v>
      </c>
      <c r="CP464" s="317"/>
      <c r="CQ464" s="59"/>
      <c r="CR464" s="59"/>
      <c r="CS464" s="59">
        <v>1</v>
      </c>
      <c r="CT464" s="59">
        <v>7</v>
      </c>
      <c r="CU464" s="59">
        <v>0</v>
      </c>
      <c r="CV464" s="59">
        <v>0</v>
      </c>
      <c r="CW464" s="59"/>
      <c r="CX464" s="59"/>
      <c r="CY464" s="59">
        <v>6</v>
      </c>
      <c r="CZ464" s="59"/>
      <c r="DA464" s="59"/>
      <c r="DB464" s="59">
        <v>0</v>
      </c>
      <c r="DC464" s="59"/>
      <c r="DD464" s="59"/>
      <c r="DE464" s="59"/>
      <c r="DF464" s="59"/>
      <c r="DG464" s="59">
        <v>2</v>
      </c>
      <c r="DH464" s="59">
        <v>0</v>
      </c>
      <c r="DI464" s="59">
        <v>0</v>
      </c>
      <c r="DJ464" s="59">
        <v>1</v>
      </c>
      <c r="DK464" s="59"/>
      <c r="DL464" s="59"/>
      <c r="DM464" s="59">
        <v>0</v>
      </c>
      <c r="DN464" s="59"/>
      <c r="DO464" s="59">
        <v>2</v>
      </c>
      <c r="DP464" s="59"/>
      <c r="DQ464" s="59"/>
      <c r="DR464" s="59"/>
      <c r="DS464" s="59">
        <v>4</v>
      </c>
      <c r="DT464" s="59">
        <v>0</v>
      </c>
      <c r="DU464" s="59">
        <v>4</v>
      </c>
      <c r="DV464" s="38">
        <f t="shared" si="205"/>
        <v>50</v>
      </c>
      <c r="DW464" s="14" t="str">
        <f t="shared" si="206"/>
        <v/>
      </c>
      <c r="DX464" s="369"/>
      <c r="DY464" s="369">
        <f t="shared" si="208"/>
        <v>50</v>
      </c>
    </row>
    <row r="465" spans="1:129" s="6" customFormat="1" ht="12" thickBot="1">
      <c r="A465" s="212" t="s">
        <v>176</v>
      </c>
      <c r="B465" s="83"/>
      <c r="C465" s="52">
        <f t="shared" ref="C465:X465" si="209">SUM(C441:C464)</f>
        <v>56</v>
      </c>
      <c r="D465" s="53">
        <f t="shared" si="209"/>
        <v>407</v>
      </c>
      <c r="E465" s="53">
        <f t="shared" si="209"/>
        <v>39</v>
      </c>
      <c r="F465" s="53">
        <f t="shared" si="209"/>
        <v>13</v>
      </c>
      <c r="G465" s="53">
        <f t="shared" si="209"/>
        <v>24</v>
      </c>
      <c r="H465" s="53">
        <f t="shared" si="209"/>
        <v>41</v>
      </c>
      <c r="I465" s="53">
        <f>SUM(I441:I464)</f>
        <v>0</v>
      </c>
      <c r="J465" s="53">
        <f t="shared" si="209"/>
        <v>645</v>
      </c>
      <c r="K465" s="53">
        <f t="shared" si="209"/>
        <v>24</v>
      </c>
      <c r="L465" s="53">
        <f t="shared" ref="L465:P465" si="210">SUM(L441:L464)</f>
        <v>5</v>
      </c>
      <c r="M465" s="53">
        <f t="shared" si="210"/>
        <v>0</v>
      </c>
      <c r="N465" s="53">
        <f t="shared" si="210"/>
        <v>0</v>
      </c>
      <c r="O465" s="53">
        <f>SUM(O441:O464)</f>
        <v>120</v>
      </c>
      <c r="P465" s="53">
        <f t="shared" si="210"/>
        <v>18</v>
      </c>
      <c r="Q465" s="53">
        <f t="shared" si="209"/>
        <v>24</v>
      </c>
      <c r="R465" s="53">
        <f t="shared" si="209"/>
        <v>47</v>
      </c>
      <c r="S465" s="55">
        <f t="shared" si="209"/>
        <v>1463</v>
      </c>
      <c r="T465" s="53">
        <f t="shared" si="209"/>
        <v>0</v>
      </c>
      <c r="U465" s="53">
        <f t="shared" si="209"/>
        <v>392</v>
      </c>
      <c r="V465" s="53">
        <f t="shared" ref="V465" si="211">SUM(V441:V464)</f>
        <v>0</v>
      </c>
      <c r="W465" s="53">
        <f t="shared" si="209"/>
        <v>13</v>
      </c>
      <c r="X465" s="54">
        <f t="shared" si="209"/>
        <v>10</v>
      </c>
      <c r="Z465" s="52">
        <f>SUM(Z441:Z464)</f>
        <v>32077476</v>
      </c>
      <c r="AA465" s="53">
        <f>SUM(AA441:AA464)</f>
        <v>0</v>
      </c>
      <c r="AB465" s="53"/>
      <c r="AC465" s="52">
        <f>SUM(AC441:AC464)</f>
        <v>22217196</v>
      </c>
      <c r="AD465" s="53">
        <f>SUM(AD441:AD464)</f>
        <v>0</v>
      </c>
      <c r="AE465" s="55">
        <f>SUM(AE441:AE464)</f>
        <v>22217196</v>
      </c>
      <c r="AG465" s="52">
        <f>SUM(AG441:AG464)</f>
        <v>2114</v>
      </c>
      <c r="AH465" s="53">
        <f>SUM(AH441:AH464)</f>
        <v>383</v>
      </c>
      <c r="AI465" s="53">
        <f>SUM(AI441:AI464)</f>
        <v>2816</v>
      </c>
      <c r="AJ465" s="54">
        <f>SUM(AJ441:AJ464)</f>
        <v>0</v>
      </c>
      <c r="AL465" s="52">
        <f t="shared" ref="AL465:AV465" si="212">SUM(AL441:AL464)</f>
        <v>170</v>
      </c>
      <c r="AM465" s="53">
        <f t="shared" si="212"/>
        <v>339</v>
      </c>
      <c r="AN465" s="55">
        <f t="shared" si="212"/>
        <v>509</v>
      </c>
      <c r="AO465" s="283"/>
      <c r="AP465" s="283"/>
      <c r="AQ465" s="284"/>
      <c r="AR465" s="53">
        <f t="shared" si="212"/>
        <v>3750</v>
      </c>
      <c r="AS465" s="53">
        <f t="shared" si="212"/>
        <v>515</v>
      </c>
      <c r="AT465" s="53">
        <f t="shared" si="212"/>
        <v>1333</v>
      </c>
      <c r="AU465" s="53">
        <f t="shared" si="212"/>
        <v>262</v>
      </c>
      <c r="AV465" s="54">
        <f t="shared" si="212"/>
        <v>2214</v>
      </c>
      <c r="AX465" s="329"/>
      <c r="AY465" s="54"/>
      <c r="BA465" s="52">
        <f t="shared" ref="BA465:BM465" si="213">SUM(BA441:BA464)</f>
        <v>20682</v>
      </c>
      <c r="BB465" s="53">
        <f t="shared" si="213"/>
        <v>371056821</v>
      </c>
      <c r="BC465" s="53">
        <f t="shared" si="213"/>
        <v>0</v>
      </c>
      <c r="BD465" s="53"/>
      <c r="BE465" s="53">
        <f t="shared" si="213"/>
        <v>1021</v>
      </c>
      <c r="BF465" s="53">
        <f t="shared" si="213"/>
        <v>47</v>
      </c>
      <c r="BG465" s="53">
        <f t="shared" si="213"/>
        <v>42</v>
      </c>
      <c r="BH465" s="55"/>
      <c r="BI465" s="53">
        <f t="shared" si="213"/>
        <v>26613791</v>
      </c>
      <c r="BJ465" s="339"/>
      <c r="BK465" s="339"/>
      <c r="BL465" s="304"/>
      <c r="BM465" s="54">
        <f t="shared" si="213"/>
        <v>4298</v>
      </c>
      <c r="BO465" s="52">
        <f>SUM(BO441:BO464)</f>
        <v>0</v>
      </c>
      <c r="BP465" s="54">
        <f>SUM(BP441:BP464)</f>
        <v>1863</v>
      </c>
      <c r="BR465" s="81" t="s">
        <v>180</v>
      </c>
      <c r="BS465" s="80"/>
      <c r="BT465" s="82"/>
      <c r="BV465" s="52">
        <f>SUM(BV441:BV464)</f>
        <v>53</v>
      </c>
      <c r="BW465" s="53">
        <f>SUM(BW441:BW464)</f>
        <v>8</v>
      </c>
      <c r="BX465" s="53">
        <f t="shared" ref="BX465:DU465" si="214">SUM(BX441:BX464)</f>
        <v>18</v>
      </c>
      <c r="BY465" s="53">
        <f t="shared" si="214"/>
        <v>0</v>
      </c>
      <c r="BZ465" s="53">
        <f t="shared" si="214"/>
        <v>0</v>
      </c>
      <c r="CA465" s="53">
        <f t="shared" si="214"/>
        <v>0</v>
      </c>
      <c r="CB465" s="53">
        <f t="shared" si="214"/>
        <v>0</v>
      </c>
      <c r="CC465" s="53">
        <f t="shared" si="214"/>
        <v>0</v>
      </c>
      <c r="CD465" s="53">
        <f t="shared" si="214"/>
        <v>125</v>
      </c>
      <c r="CE465" s="53">
        <f t="shared" si="214"/>
        <v>0</v>
      </c>
      <c r="CF465" s="53">
        <f t="shared" si="214"/>
        <v>36</v>
      </c>
      <c r="CG465" s="53">
        <f t="shared" si="214"/>
        <v>8</v>
      </c>
      <c r="CH465" s="53">
        <f t="shared" si="214"/>
        <v>0</v>
      </c>
      <c r="CI465" s="53">
        <f t="shared" si="214"/>
        <v>105</v>
      </c>
      <c r="CJ465" s="53">
        <f t="shared" si="214"/>
        <v>143</v>
      </c>
      <c r="CK465" s="53">
        <f t="shared" si="214"/>
        <v>0</v>
      </c>
      <c r="CL465" s="53">
        <f t="shared" si="214"/>
        <v>0</v>
      </c>
      <c r="CM465" s="53">
        <f t="shared" si="214"/>
        <v>30</v>
      </c>
      <c r="CN465" s="53">
        <f t="shared" si="214"/>
        <v>0</v>
      </c>
      <c r="CO465" s="53">
        <f t="shared" si="214"/>
        <v>183</v>
      </c>
      <c r="CP465" s="53">
        <f t="shared" si="214"/>
        <v>0</v>
      </c>
      <c r="CQ465" s="53">
        <f t="shared" si="214"/>
        <v>0</v>
      </c>
      <c r="CR465" s="53">
        <f t="shared" si="214"/>
        <v>0</v>
      </c>
      <c r="CS465" s="53">
        <f t="shared" si="214"/>
        <v>35</v>
      </c>
      <c r="CT465" s="53">
        <f t="shared" si="214"/>
        <v>145</v>
      </c>
      <c r="CU465" s="53">
        <f t="shared" si="214"/>
        <v>0</v>
      </c>
      <c r="CV465" s="53">
        <f t="shared" si="214"/>
        <v>54</v>
      </c>
      <c r="CW465" s="53">
        <f t="shared" si="214"/>
        <v>0</v>
      </c>
      <c r="CX465" s="53">
        <f t="shared" si="214"/>
        <v>0</v>
      </c>
      <c r="CY465" s="53">
        <f t="shared" si="214"/>
        <v>35</v>
      </c>
      <c r="CZ465" s="53">
        <f t="shared" si="214"/>
        <v>0</v>
      </c>
      <c r="DA465" s="53">
        <f t="shared" si="214"/>
        <v>0</v>
      </c>
      <c r="DB465" s="53">
        <f t="shared" si="214"/>
        <v>126</v>
      </c>
      <c r="DC465" s="53">
        <f t="shared" si="214"/>
        <v>0</v>
      </c>
      <c r="DD465" s="53">
        <f t="shared" si="214"/>
        <v>0</v>
      </c>
      <c r="DE465" s="53">
        <f t="shared" si="214"/>
        <v>0</v>
      </c>
      <c r="DF465" s="53">
        <f t="shared" si="214"/>
        <v>0</v>
      </c>
      <c r="DG465" s="53">
        <f t="shared" si="214"/>
        <v>70</v>
      </c>
      <c r="DH465" s="53">
        <f t="shared" si="214"/>
        <v>20</v>
      </c>
      <c r="DI465" s="53">
        <f t="shared" si="214"/>
        <v>27</v>
      </c>
      <c r="DJ465" s="53">
        <f t="shared" si="214"/>
        <v>30</v>
      </c>
      <c r="DK465" s="53">
        <f t="shared" si="214"/>
        <v>0</v>
      </c>
      <c r="DL465" s="53">
        <f t="shared" si="214"/>
        <v>0</v>
      </c>
      <c r="DM465" s="53">
        <f t="shared" si="214"/>
        <v>22</v>
      </c>
      <c r="DN465" s="53">
        <f t="shared" si="214"/>
        <v>0</v>
      </c>
      <c r="DO465" s="53">
        <f t="shared" si="214"/>
        <v>22</v>
      </c>
      <c r="DP465" s="53">
        <f t="shared" si="214"/>
        <v>0</v>
      </c>
      <c r="DQ465" s="53">
        <f t="shared" si="214"/>
        <v>0</v>
      </c>
      <c r="DR465" s="53">
        <f t="shared" si="214"/>
        <v>0</v>
      </c>
      <c r="DS465" s="53">
        <f t="shared" si="214"/>
        <v>36</v>
      </c>
      <c r="DT465" s="53">
        <f t="shared" si="214"/>
        <v>85</v>
      </c>
      <c r="DU465" s="53">
        <f t="shared" si="214"/>
        <v>47</v>
      </c>
      <c r="DV465" s="54">
        <f t="shared" si="205"/>
        <v>1463</v>
      </c>
      <c r="DW465" s="48"/>
      <c r="DY465" s="6">
        <f>SUM(DY441:DY464)</f>
        <v>1463</v>
      </c>
    </row>
    <row r="466" spans="1:129" s="6" customFormat="1" ht="12" thickTop="1">
      <c r="A466" s="213" t="s">
        <v>177</v>
      </c>
      <c r="B466" s="24"/>
      <c r="C466" s="39">
        <f t="shared" ref="C466:R466" si="215">ROUND(IF(ISERROR(AVERAGE(C441:C464)),0,AVERAGE(C441:C464)),0)</f>
        <v>2</v>
      </c>
      <c r="D466" s="24">
        <f t="shared" si="215"/>
        <v>17</v>
      </c>
      <c r="E466" s="24">
        <f t="shared" si="215"/>
        <v>2</v>
      </c>
      <c r="F466" s="24">
        <f t="shared" si="215"/>
        <v>1</v>
      </c>
      <c r="G466" s="24">
        <f t="shared" si="215"/>
        <v>1</v>
      </c>
      <c r="H466" s="24">
        <f t="shared" si="215"/>
        <v>2</v>
      </c>
      <c r="I466" s="24">
        <f>ROUND(IF(ISERROR(AVERAGE(I441:I464)),0,AVERAGE(I441:I464)),0)</f>
        <v>0</v>
      </c>
      <c r="J466" s="24">
        <f t="shared" si="215"/>
        <v>27</v>
      </c>
      <c r="K466" s="24">
        <f t="shared" si="215"/>
        <v>1</v>
      </c>
      <c r="L466" s="24">
        <f t="shared" ref="L466:P466" si="216">ROUND(IF(ISERROR(AVERAGE(L441:L464)),0,AVERAGE(L441:L464)),0)</f>
        <v>0</v>
      </c>
      <c r="M466" s="24">
        <f t="shared" si="216"/>
        <v>0</v>
      </c>
      <c r="N466" s="24">
        <f t="shared" si="216"/>
        <v>0</v>
      </c>
      <c r="O466" s="24">
        <f>ROUND(IF(ISERROR(AVERAGE(O441:O464)),0,AVERAGE(O441:O464)),0)</f>
        <v>5</v>
      </c>
      <c r="P466" s="24">
        <f t="shared" si="216"/>
        <v>1</v>
      </c>
      <c r="Q466" s="24">
        <f t="shared" si="215"/>
        <v>1</v>
      </c>
      <c r="R466" s="24">
        <f t="shared" si="215"/>
        <v>2</v>
      </c>
      <c r="S466" s="31">
        <f>SUM(C466:R466)</f>
        <v>62</v>
      </c>
      <c r="T466" s="24">
        <f>ROUND(IF(ISERROR(AVERAGE(T441:T464)),0,AVERAGE(T441:T464)),0)</f>
        <v>0</v>
      </c>
      <c r="U466" s="24">
        <f>ROUND(IF(ISERROR(AVERAGE(U441:U464)),0,AVERAGE(U441:U464)),0)</f>
        <v>16</v>
      </c>
      <c r="V466" s="24">
        <f>ROUND(IF(ISERROR(AVERAGE(V441:V464)),0,AVERAGE(V441:V464)),0)</f>
        <v>0</v>
      </c>
      <c r="W466" s="24">
        <f>ROUND(IF(ISERROR(AVERAGE(W441:W464)),0,AVERAGE(W441:W464)),0)</f>
        <v>1</v>
      </c>
      <c r="X466" s="40">
        <f>ROUND(IF(ISERROR(AVERAGE(X441:X464)),0,AVERAGE(X441:X464)),0)</f>
        <v>0</v>
      </c>
      <c r="Z466" s="39">
        <f>ROUND(IF(ISERROR(AVERAGE(Z441:Z464)),0,AVERAGE(Z441:Z464)),0)</f>
        <v>1336562</v>
      </c>
      <c r="AA466" s="24">
        <f>ROUND(IF(ISERROR(AVERAGE(AA441:AA464)),0,AVERAGE(AA441:AA464)),0)</f>
        <v>0</v>
      </c>
      <c r="AB466" s="24"/>
      <c r="AC466" s="39">
        <f>ROUND(IF(ISERROR(AVERAGE(AC441:AC464)),0,AVERAGE(AC441:AC464)),0)</f>
        <v>925717</v>
      </c>
      <c r="AD466" s="24">
        <f>ROUND(IF(ISERROR(AVERAGE(AD441:AD464)),0,AVERAGE(AD441:AD464)),0)</f>
        <v>0</v>
      </c>
      <c r="AE466" s="31">
        <f>SUM(AC466:AD466)</f>
        <v>925717</v>
      </c>
      <c r="AG466" s="39">
        <f>ROUND(IF(ISERROR(AVERAGE(AG441:AG464)),0,AVERAGE(AG441:AG464)),0)</f>
        <v>88</v>
      </c>
      <c r="AH466" s="24">
        <f>ROUND(IF(ISERROR(AVERAGE(AH441:AH464)),0,AVERAGE(AH441:AH464)),0)</f>
        <v>16</v>
      </c>
      <c r="AI466" s="24">
        <f>ROUND(IF(ISERROR(AVERAGE(AI441:AI464)),0,AVERAGE(AI441:AI464)),0)</f>
        <v>117</v>
      </c>
      <c r="AJ466" s="40">
        <f>ROUND(IF(ISERROR(AVERAGE(AJ441:AJ464)),0,AVERAGE(AJ441:AJ464)),0)</f>
        <v>0</v>
      </c>
      <c r="AL466" s="39">
        <f>ROUND(IF(ISERROR(AVERAGE(AL441:AL464)),0,AVERAGE(AL441:AL464)),0)</f>
        <v>28</v>
      </c>
      <c r="AM466" s="24">
        <f>ROUND(IF(ISERROR(AVERAGE(AM441:AM464)),0,AVERAGE(AM441:AM464)),0)</f>
        <v>57</v>
      </c>
      <c r="AN466" s="31">
        <f>SUM(AL466:AM466)</f>
        <v>85</v>
      </c>
      <c r="AO466" s="285"/>
      <c r="AP466" s="285"/>
      <c r="AQ466" s="281"/>
      <c r="AR466" s="24">
        <f>ROUND(IF(ISERROR(AVERAGE(AR441:AR464)),0,AVERAGE(AR441:AR464)),0)</f>
        <v>156</v>
      </c>
      <c r="AS466" s="24">
        <f>ROUND(IF(ISERROR(AVERAGE(AS441:AS464)),0,AVERAGE(AS441:AS464)),0)</f>
        <v>43</v>
      </c>
      <c r="AT466" s="24">
        <f>ROUND(IF(ISERROR(AVERAGE(AT441:AT464)),0,AVERAGE(AT441:AT464)),0)</f>
        <v>111</v>
      </c>
      <c r="AU466" s="24">
        <f>ROUND(IF(ISERROR(AVERAGE(AU441:AU464)),0,AVERAGE(AU441:AU464)),0)</f>
        <v>22</v>
      </c>
      <c r="AV466" s="40">
        <f>ROUND(IF(ISERROR(AVERAGE(AV441:AV464)),0,AVERAGE(AV441:AV464)),0)</f>
        <v>185</v>
      </c>
      <c r="AX466" s="330"/>
      <c r="AY466" s="40"/>
      <c r="BA466" s="39">
        <f t="shared" ref="BA466:BM466" si="217">ROUND(IF(ISERROR(AVERAGE(BA441:BA464)),0,AVERAGE(BA441:BA464)),0)</f>
        <v>1724</v>
      </c>
      <c r="BB466" s="24">
        <f t="shared" si="217"/>
        <v>30921402</v>
      </c>
      <c r="BC466" s="24">
        <f t="shared" si="217"/>
        <v>0</v>
      </c>
      <c r="BD466" s="24"/>
      <c r="BE466" s="24">
        <f t="shared" si="217"/>
        <v>85</v>
      </c>
      <c r="BF466" s="24">
        <f t="shared" si="217"/>
        <v>4</v>
      </c>
      <c r="BG466" s="24">
        <f t="shared" si="217"/>
        <v>4</v>
      </c>
      <c r="BH466" s="31"/>
      <c r="BI466" s="24">
        <f t="shared" si="217"/>
        <v>2217816</v>
      </c>
      <c r="BJ466" s="340"/>
      <c r="BK466" s="340"/>
      <c r="BL466" s="305">
        <f>AVERAGE(BL441:BL464)</f>
        <v>74.083333333333329</v>
      </c>
      <c r="BM466" s="40">
        <f t="shared" si="217"/>
        <v>4298</v>
      </c>
      <c r="BO466" s="39">
        <f>ROUND(IF(ISERROR(AVERAGE(BO441:BO464)),0,AVERAGE(BO441:BO464)),0)</f>
        <v>0</v>
      </c>
      <c r="BP466" s="40">
        <f>ROUND(IF(ISERROR(AVERAGE(BP441:BP464)),0,AVERAGE(BP441:BP464)),0)</f>
        <v>155</v>
      </c>
      <c r="BR466" s="65" t="s">
        <v>181</v>
      </c>
      <c r="BS466" s="19"/>
      <c r="BT466" s="14"/>
      <c r="BV466" s="39">
        <f>ROUND(IF(ISERROR(AVERAGE(BV441:BV464)),0,AVERAGE(BV441:BV464)),0)</f>
        <v>2</v>
      </c>
      <c r="BW466" s="24">
        <f>ROUND(IF(ISERROR(AVERAGE(BW441:BW464)),0,AVERAGE(BW441:BW464)),0)</f>
        <v>0</v>
      </c>
      <c r="BX466" s="24">
        <f t="shared" ref="BX466:DU466" si="218">ROUND(IF(ISERROR(AVERAGE(BX441:BX464)),0,AVERAGE(BX441:BX464)),0)</f>
        <v>1</v>
      </c>
      <c r="BY466" s="24">
        <f t="shared" si="218"/>
        <v>0</v>
      </c>
      <c r="BZ466" s="24">
        <f t="shared" si="218"/>
        <v>0</v>
      </c>
      <c r="CA466" s="24">
        <f t="shared" si="218"/>
        <v>0</v>
      </c>
      <c r="CB466" s="24">
        <f t="shared" si="218"/>
        <v>0</v>
      </c>
      <c r="CC466" s="24">
        <f t="shared" si="218"/>
        <v>0</v>
      </c>
      <c r="CD466" s="24">
        <f t="shared" si="218"/>
        <v>5</v>
      </c>
      <c r="CE466" s="24">
        <f t="shared" si="218"/>
        <v>0</v>
      </c>
      <c r="CF466" s="24">
        <f t="shared" si="218"/>
        <v>2</v>
      </c>
      <c r="CG466" s="24">
        <f t="shared" si="218"/>
        <v>0</v>
      </c>
      <c r="CH466" s="24">
        <f t="shared" si="218"/>
        <v>0</v>
      </c>
      <c r="CI466" s="24">
        <f t="shared" si="218"/>
        <v>4</v>
      </c>
      <c r="CJ466" s="24">
        <f t="shared" si="218"/>
        <v>6</v>
      </c>
      <c r="CK466" s="24">
        <f t="shared" si="218"/>
        <v>0</v>
      </c>
      <c r="CL466" s="24">
        <f t="shared" si="218"/>
        <v>0</v>
      </c>
      <c r="CM466" s="24">
        <f t="shared" si="218"/>
        <v>1</v>
      </c>
      <c r="CN466" s="24">
        <f t="shared" si="218"/>
        <v>0</v>
      </c>
      <c r="CO466" s="24">
        <f t="shared" si="218"/>
        <v>8</v>
      </c>
      <c r="CP466" s="24">
        <f t="shared" si="218"/>
        <v>0</v>
      </c>
      <c r="CQ466" s="24">
        <f t="shared" si="218"/>
        <v>0</v>
      </c>
      <c r="CR466" s="24">
        <f t="shared" si="218"/>
        <v>0</v>
      </c>
      <c r="CS466" s="24">
        <f t="shared" si="218"/>
        <v>1</v>
      </c>
      <c r="CT466" s="24">
        <f t="shared" si="218"/>
        <v>6</v>
      </c>
      <c r="CU466" s="24">
        <f t="shared" si="218"/>
        <v>0</v>
      </c>
      <c r="CV466" s="24">
        <f t="shared" si="218"/>
        <v>2</v>
      </c>
      <c r="CW466" s="24">
        <f t="shared" si="218"/>
        <v>0</v>
      </c>
      <c r="CX466" s="24">
        <f t="shared" si="218"/>
        <v>0</v>
      </c>
      <c r="CY466" s="24">
        <f t="shared" si="218"/>
        <v>1</v>
      </c>
      <c r="CZ466" s="24">
        <f t="shared" si="218"/>
        <v>0</v>
      </c>
      <c r="DA466" s="24">
        <f t="shared" si="218"/>
        <v>0</v>
      </c>
      <c r="DB466" s="24">
        <f t="shared" si="218"/>
        <v>5</v>
      </c>
      <c r="DC466" s="24">
        <f t="shared" si="218"/>
        <v>0</v>
      </c>
      <c r="DD466" s="24">
        <f t="shared" si="218"/>
        <v>0</v>
      </c>
      <c r="DE466" s="24">
        <f t="shared" si="218"/>
        <v>0</v>
      </c>
      <c r="DF466" s="24">
        <f t="shared" si="218"/>
        <v>0</v>
      </c>
      <c r="DG466" s="24">
        <f t="shared" si="218"/>
        <v>3</v>
      </c>
      <c r="DH466" s="24">
        <f t="shared" si="218"/>
        <v>1</v>
      </c>
      <c r="DI466" s="24">
        <f t="shared" si="218"/>
        <v>1</v>
      </c>
      <c r="DJ466" s="24">
        <f t="shared" si="218"/>
        <v>1</v>
      </c>
      <c r="DK466" s="24">
        <f t="shared" si="218"/>
        <v>0</v>
      </c>
      <c r="DL466" s="24">
        <f t="shared" si="218"/>
        <v>0</v>
      </c>
      <c r="DM466" s="24">
        <f t="shared" si="218"/>
        <v>1</v>
      </c>
      <c r="DN466" s="24">
        <f t="shared" si="218"/>
        <v>0</v>
      </c>
      <c r="DO466" s="24">
        <f t="shared" si="218"/>
        <v>1</v>
      </c>
      <c r="DP466" s="24">
        <f t="shared" si="218"/>
        <v>0</v>
      </c>
      <c r="DQ466" s="24">
        <f t="shared" si="218"/>
        <v>0</v>
      </c>
      <c r="DR466" s="24">
        <f t="shared" si="218"/>
        <v>0</v>
      </c>
      <c r="DS466" s="24">
        <f t="shared" si="218"/>
        <v>2</v>
      </c>
      <c r="DT466" s="24">
        <f t="shared" si="218"/>
        <v>4</v>
      </c>
      <c r="DU466" s="24">
        <f t="shared" si="218"/>
        <v>2</v>
      </c>
      <c r="DV466" s="18"/>
      <c r="DW466" s="48"/>
    </row>
    <row r="467" spans="1:129" customFormat="1">
      <c r="A467" s="210" t="s">
        <v>178</v>
      </c>
      <c r="B467" s="211"/>
      <c r="C467" s="8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30">
        <f>MEDIAN(S441:S464)</f>
        <v>54.5</v>
      </c>
      <c r="T467" s="10"/>
      <c r="U467" s="10"/>
      <c r="V467" s="10"/>
      <c r="W467" s="10"/>
      <c r="X467" s="5"/>
      <c r="Y467" s="10"/>
      <c r="Z467" s="8"/>
      <c r="AA467" s="10" t="str">
        <f>IF(ISERROR(MEDIAN(AA441:AA464)),"",MEDIAN(AA441:AA464))</f>
        <v/>
      </c>
      <c r="AB467" s="10"/>
      <c r="AC467" s="8"/>
      <c r="AD467" s="10"/>
      <c r="AE467" s="30"/>
      <c r="AF467" s="10"/>
      <c r="AG467" s="8"/>
      <c r="AH467" s="10"/>
      <c r="AI467" s="10">
        <f>IF(ISERROR(MEDIAN(AI441:AI464)),"",MEDIAN(AI441:AI464))</f>
        <v>114</v>
      </c>
      <c r="AJ467" s="5" t="str">
        <f>IF(ISERROR(MEDIAN(AJ441:AJ464)),"",MEDIAN(AJ441:AJ464))</f>
        <v/>
      </c>
      <c r="AK467" s="10"/>
      <c r="AL467" s="8"/>
      <c r="AM467" s="10"/>
      <c r="AN467" s="30"/>
      <c r="AO467" s="10"/>
      <c r="AP467" s="10"/>
      <c r="AQ467" s="30"/>
      <c r="AR467" s="10"/>
      <c r="AS467" s="10"/>
      <c r="AT467" s="10"/>
      <c r="AU467" s="10"/>
      <c r="AV467" s="5"/>
      <c r="AW467" s="10"/>
      <c r="AX467" s="326"/>
      <c r="AY467" s="5"/>
      <c r="AZ467" s="10"/>
      <c r="BA467" s="8">
        <f>IF(ISERROR(MEDIAN(BA441:BA464)),"",MEDIAN(BA441:BA464))</f>
        <v>1723</v>
      </c>
      <c r="BB467" s="10"/>
      <c r="BC467" s="10"/>
      <c r="BD467" s="10"/>
      <c r="BE467" s="10"/>
      <c r="BF467" s="10"/>
      <c r="BG467" s="10"/>
      <c r="BH467" s="30"/>
      <c r="BI467" s="10"/>
      <c r="BJ467" s="338"/>
      <c r="BK467" s="338"/>
      <c r="BL467" s="303"/>
      <c r="BM467" s="5"/>
      <c r="BN467" s="10"/>
      <c r="BO467" s="8"/>
      <c r="BP467" s="5"/>
      <c r="BQ467" s="10"/>
      <c r="BR467" s="65"/>
      <c r="BS467" s="19"/>
      <c r="BT467" s="14"/>
      <c r="BU467" s="10"/>
      <c r="BV467" s="8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  <c r="DD467" s="10"/>
      <c r="DE467" s="10"/>
      <c r="DF467" s="10"/>
      <c r="DG467" s="10"/>
      <c r="DH467" s="10"/>
      <c r="DI467" s="10"/>
      <c r="DJ467" s="10"/>
      <c r="DK467" s="10"/>
      <c r="DL467" s="10"/>
      <c r="DM467" s="10"/>
      <c r="DN467" s="10"/>
      <c r="DO467" s="10"/>
      <c r="DP467" s="10"/>
      <c r="DQ467" s="10"/>
      <c r="DR467" s="10"/>
      <c r="DS467" s="10"/>
      <c r="DT467" s="10"/>
      <c r="DU467" s="10"/>
      <c r="DV467" s="5"/>
      <c r="DW467" s="21"/>
    </row>
    <row r="468" spans="1:129" customFormat="1" ht="12" thickBot="1">
      <c r="A468" s="214" t="s">
        <v>179</v>
      </c>
      <c r="B468" s="195"/>
      <c r="C468" s="41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32">
        <f>MODE(S441:S464)</f>
        <v>48</v>
      </c>
      <c r="T468" s="22"/>
      <c r="U468" s="22"/>
      <c r="V468" s="22"/>
      <c r="W468" s="22"/>
      <c r="X468" s="42"/>
      <c r="Y468" s="22"/>
      <c r="Z468" s="41"/>
      <c r="AA468" s="22"/>
      <c r="AB468" s="22"/>
      <c r="AC468" s="41"/>
      <c r="AD468" s="22"/>
      <c r="AE468" s="32"/>
      <c r="AF468" s="22"/>
      <c r="AG468" s="41"/>
      <c r="AH468" s="22"/>
      <c r="AI468" s="22">
        <f>IF(ISERROR(MODE(AI441:AI464)),"",MODE(AI441:AI464))</f>
        <v>126</v>
      </c>
      <c r="AJ468" s="42" t="str">
        <f>IF(ISERROR(MODE(AJ441:AJ464)),"",MODE(AJ441:AJ464))</f>
        <v/>
      </c>
      <c r="AK468" s="22"/>
      <c r="AL468" s="41"/>
      <c r="AM468" s="22"/>
      <c r="AN468" s="32"/>
      <c r="AO468" s="22"/>
      <c r="AP468" s="22"/>
      <c r="AQ468" s="32"/>
      <c r="AR468" s="22"/>
      <c r="AS468" s="22"/>
      <c r="AT468" s="22"/>
      <c r="AU468" s="22"/>
      <c r="AV468" s="42"/>
      <c r="AW468" s="22"/>
      <c r="AX468" s="331"/>
      <c r="AY468" s="42"/>
      <c r="AZ468" s="22"/>
      <c r="BA468" s="41"/>
      <c r="BB468" s="22"/>
      <c r="BC468" s="22"/>
      <c r="BD468" s="22"/>
      <c r="BE468" s="22"/>
      <c r="BF468" s="22"/>
      <c r="BG468" s="22"/>
      <c r="BH468" s="32"/>
      <c r="BI468" s="22"/>
      <c r="BJ468" s="341"/>
      <c r="BK468" s="341"/>
      <c r="BL468" s="306"/>
      <c r="BM468" s="42"/>
      <c r="BN468" s="22"/>
      <c r="BO468" s="41"/>
      <c r="BP468" s="42"/>
      <c r="BQ468" s="22"/>
      <c r="BR468" s="66"/>
      <c r="BS468" s="51"/>
      <c r="BT468" s="67"/>
      <c r="BU468" s="22"/>
      <c r="BV468" s="41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22"/>
      <c r="CR468" s="22"/>
      <c r="CS468" s="22"/>
      <c r="CT468" s="22"/>
      <c r="CU468" s="22"/>
      <c r="CV468" s="22"/>
      <c r="CW468" s="22"/>
      <c r="CX468" s="22"/>
      <c r="CY468" s="22"/>
      <c r="CZ468" s="22"/>
      <c r="DA468" s="22"/>
      <c r="DB468" s="22"/>
      <c r="DC468" s="22"/>
      <c r="DD468" s="22"/>
      <c r="DE468" s="22"/>
      <c r="DF468" s="22"/>
      <c r="DG468" s="22"/>
      <c r="DH468" s="22"/>
      <c r="DI468" s="22"/>
      <c r="DJ468" s="22"/>
      <c r="DK468" s="22"/>
      <c r="DL468" s="22"/>
      <c r="DM468" s="22"/>
      <c r="DN468" s="22"/>
      <c r="DO468" s="22"/>
      <c r="DP468" s="22"/>
      <c r="DQ468" s="22"/>
      <c r="DR468" s="22"/>
      <c r="DS468" s="22"/>
      <c r="DT468" s="22"/>
      <c r="DU468" s="22"/>
      <c r="DV468" s="42"/>
      <c r="DW468" s="23"/>
    </row>
    <row r="469" spans="1:129" customFormat="1">
      <c r="A469" s="194" t="s">
        <v>182</v>
      </c>
      <c r="B469" s="194"/>
      <c r="C469" s="8">
        <f>COUNTA(C441:C464)</f>
        <v>24</v>
      </c>
      <c r="D469" s="10"/>
      <c r="E469" s="10"/>
      <c r="F469" s="10">
        <f>SUM(C465:F465)</f>
        <v>515</v>
      </c>
      <c r="G469" s="98">
        <f>G465/F469</f>
        <v>4.6601941747572817E-2</v>
      </c>
      <c r="H469" s="104">
        <f>H465/S465</f>
        <v>2.8024606971975393E-2</v>
      </c>
      <c r="I469" s="10"/>
      <c r="J469" s="98">
        <f>J465/S465</f>
        <v>0.44087491455912509</v>
      </c>
      <c r="K469" s="10"/>
      <c r="L469" s="10"/>
      <c r="M469" s="10"/>
      <c r="N469" s="10"/>
      <c r="O469" s="10"/>
      <c r="P469" s="10"/>
      <c r="Q469" s="10"/>
      <c r="R469" s="10"/>
      <c r="S469" s="30"/>
      <c r="T469" s="10"/>
      <c r="U469" s="98">
        <f>U465/S465</f>
        <v>0.26794258373205743</v>
      </c>
      <c r="V469" s="98">
        <f>V465/S465</f>
        <v>0</v>
      </c>
      <c r="W469" s="276">
        <f>W465/S465</f>
        <v>8.8858509911141498E-3</v>
      </c>
      <c r="X469" s="276">
        <f>X465/S465</f>
        <v>6.8352699931647299E-3</v>
      </c>
      <c r="Y469" s="10"/>
      <c r="Z469" s="8"/>
      <c r="AA469" s="10"/>
      <c r="AB469" s="10"/>
      <c r="AC469" s="8"/>
      <c r="AD469" s="10"/>
      <c r="AE469" s="30"/>
      <c r="AF469" s="10"/>
      <c r="AG469" s="8"/>
      <c r="AH469" s="10"/>
      <c r="AI469" s="10"/>
      <c r="AJ469" s="5"/>
      <c r="AK469" s="10"/>
      <c r="AL469" s="8"/>
      <c r="AM469" s="10"/>
      <c r="AN469" s="30"/>
      <c r="AO469" s="10"/>
      <c r="AP469" s="10"/>
      <c r="AQ469" s="30"/>
      <c r="AR469" s="10"/>
      <c r="AS469" s="10"/>
      <c r="AT469" s="10"/>
      <c r="AU469" s="10"/>
      <c r="AV469" s="5"/>
      <c r="AW469" s="10"/>
      <c r="AX469" s="326"/>
      <c r="AY469" s="5"/>
      <c r="AZ469" s="10"/>
      <c r="BA469" s="8"/>
      <c r="BB469" s="10"/>
      <c r="BC469" s="10"/>
      <c r="BD469" s="10"/>
      <c r="BE469" s="10"/>
      <c r="BF469" s="10"/>
      <c r="BG469" s="10"/>
      <c r="BH469" s="30"/>
      <c r="BI469" s="10"/>
      <c r="BJ469" s="338"/>
      <c r="BK469" s="338"/>
      <c r="BL469" s="303"/>
      <c r="BM469" s="5"/>
      <c r="BN469" s="10"/>
      <c r="BO469" s="8"/>
      <c r="BP469" s="5"/>
      <c r="BQ469" s="10"/>
      <c r="BR469" s="65"/>
      <c r="BS469" s="19"/>
      <c r="BT469" s="14"/>
      <c r="BU469" s="10"/>
      <c r="BV469" s="8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  <c r="DG469" s="10"/>
      <c r="DH469" s="10"/>
      <c r="DI469" s="10"/>
      <c r="DJ469" s="10"/>
      <c r="DK469" s="10"/>
      <c r="DL469" s="10"/>
      <c r="DM469" s="10"/>
      <c r="DN469" s="10"/>
      <c r="DO469" s="10"/>
      <c r="DP469" s="10"/>
      <c r="DQ469" s="10"/>
      <c r="DR469" s="10"/>
      <c r="DS469" s="10"/>
      <c r="DT469" s="10"/>
      <c r="DU469" s="10"/>
      <c r="DV469" s="5"/>
      <c r="DW469" s="10"/>
    </row>
    <row r="470" spans="1:129" customFormat="1">
      <c r="A470" s="194"/>
      <c r="B470" s="194"/>
      <c r="C470" s="8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30"/>
      <c r="T470" s="10"/>
      <c r="U470" s="1"/>
      <c r="V470" s="1"/>
      <c r="W470" s="96"/>
      <c r="X470" s="5"/>
      <c r="Y470" s="10"/>
      <c r="Z470" s="8"/>
      <c r="AA470" s="10"/>
      <c r="AB470" s="10"/>
      <c r="AC470" s="8"/>
      <c r="AD470" s="10"/>
      <c r="AE470" s="30"/>
      <c r="AF470" s="10"/>
      <c r="AG470" s="8"/>
      <c r="AH470" s="10"/>
      <c r="AI470" s="10"/>
      <c r="AJ470" s="5"/>
      <c r="AK470" s="10"/>
      <c r="AL470" s="8"/>
      <c r="AM470" s="10"/>
      <c r="AN470" s="30"/>
      <c r="AO470" s="10"/>
      <c r="AP470" s="10"/>
      <c r="AQ470" s="30"/>
      <c r="AR470" s="10"/>
      <c r="AS470" s="10"/>
      <c r="AT470" s="10"/>
      <c r="AU470" s="10"/>
      <c r="AV470" s="5"/>
      <c r="AW470" s="10"/>
      <c r="AX470" s="326"/>
      <c r="AY470" s="5"/>
      <c r="AZ470" s="10"/>
      <c r="BA470" s="8"/>
      <c r="BB470" s="10"/>
      <c r="BC470" s="10"/>
      <c r="BD470" s="10"/>
      <c r="BE470" s="10"/>
      <c r="BF470" s="10"/>
      <c r="BG470" s="10"/>
      <c r="BH470" s="30"/>
      <c r="BI470" s="10"/>
      <c r="BJ470" s="338"/>
      <c r="BK470" s="338"/>
      <c r="BL470" s="303"/>
      <c r="BM470" s="5"/>
      <c r="BN470" s="10"/>
      <c r="BO470" s="8"/>
      <c r="BP470" s="5"/>
      <c r="BQ470" s="10"/>
      <c r="BR470" s="65"/>
      <c r="BS470" s="19"/>
      <c r="BT470" s="14"/>
      <c r="BU470" s="10"/>
      <c r="BV470" s="8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  <c r="DD470" s="10"/>
      <c r="DE470" s="10"/>
      <c r="DF470" s="10"/>
      <c r="DG470" s="10"/>
      <c r="DH470" s="10"/>
      <c r="DI470" s="10"/>
      <c r="DJ470" s="10"/>
      <c r="DK470" s="10"/>
      <c r="DL470" s="10"/>
      <c r="DM470" s="10"/>
      <c r="DN470" s="10"/>
      <c r="DO470" s="10"/>
      <c r="DP470" s="10"/>
      <c r="DQ470" s="10"/>
      <c r="DR470" s="10"/>
      <c r="DS470" s="10"/>
      <c r="DT470" s="10"/>
      <c r="DU470" s="10"/>
      <c r="DV470" s="5"/>
      <c r="DW470" s="10"/>
    </row>
    <row r="471" spans="1:129" customFormat="1" ht="12" thickBot="1">
      <c r="A471" s="194"/>
      <c r="B471" s="194"/>
      <c r="C471" s="8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30"/>
      <c r="T471" s="10"/>
      <c r="U471" s="97"/>
      <c r="V471" s="97"/>
      <c r="W471" s="96"/>
      <c r="X471" s="5"/>
      <c r="Y471" s="10"/>
      <c r="Z471" s="8"/>
      <c r="AA471" s="10"/>
      <c r="AB471" s="10"/>
      <c r="AC471" s="8"/>
      <c r="AD471" s="10"/>
      <c r="AE471" s="30"/>
      <c r="AF471" s="10"/>
      <c r="AG471" s="8"/>
      <c r="AH471" s="10"/>
      <c r="AI471" s="10"/>
      <c r="AJ471" s="5"/>
      <c r="AK471" s="10"/>
      <c r="AL471" s="8"/>
      <c r="AM471" s="10"/>
      <c r="AN471" s="30"/>
      <c r="AO471" s="10"/>
      <c r="AP471" s="10"/>
      <c r="AQ471" s="30"/>
      <c r="AR471" s="10"/>
      <c r="AS471" s="10"/>
      <c r="AT471" s="10"/>
      <c r="AU471" s="10"/>
      <c r="AV471" s="5"/>
      <c r="AW471" s="10"/>
      <c r="AX471" s="326"/>
      <c r="AY471" s="5"/>
      <c r="AZ471" s="10"/>
      <c r="BA471" s="8"/>
      <c r="BB471" s="10"/>
      <c r="BC471" s="10"/>
      <c r="BD471" s="10"/>
      <c r="BE471" s="10"/>
      <c r="BF471" s="10"/>
      <c r="BG471" s="10"/>
      <c r="BH471" s="30"/>
      <c r="BI471" s="10"/>
      <c r="BJ471" s="338"/>
      <c r="BK471" s="338"/>
      <c r="BL471" s="303"/>
      <c r="BM471" s="5"/>
      <c r="BN471" s="10"/>
      <c r="BO471" s="8"/>
      <c r="BP471" s="5"/>
      <c r="BQ471" s="10"/>
      <c r="BR471" s="65"/>
      <c r="BS471" s="19"/>
      <c r="BT471" s="14"/>
      <c r="BU471" s="10"/>
      <c r="BV471" s="8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  <c r="DD471" s="10"/>
      <c r="DE471" s="10"/>
      <c r="DF471" s="10"/>
      <c r="DG471" s="10"/>
      <c r="DH471" s="10"/>
      <c r="DI471" s="10"/>
      <c r="DJ471" s="10"/>
      <c r="DK471" s="10"/>
      <c r="DL471" s="10"/>
      <c r="DM471" s="10"/>
      <c r="DN471" s="10"/>
      <c r="DO471" s="10"/>
      <c r="DP471" s="10"/>
      <c r="DQ471" s="10"/>
      <c r="DR471" s="10"/>
      <c r="DS471" s="10"/>
      <c r="DT471" s="10"/>
      <c r="DU471" s="10"/>
      <c r="DV471" s="5"/>
      <c r="DW471" s="10"/>
    </row>
    <row r="472" spans="1:129" customFormat="1">
      <c r="A472" s="208">
        <v>37803</v>
      </c>
      <c r="B472" s="209"/>
      <c r="C472" s="36">
        <v>1</v>
      </c>
      <c r="D472" s="9">
        <v>17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25</v>
      </c>
      <c r="K472" s="9">
        <v>1</v>
      </c>
      <c r="L472" s="9">
        <v>0</v>
      </c>
      <c r="M472" s="9">
        <v>0</v>
      </c>
      <c r="N472" s="9">
        <v>0</v>
      </c>
      <c r="O472" s="9">
        <v>6</v>
      </c>
      <c r="P472" s="9">
        <v>0</v>
      </c>
      <c r="Q472" s="9">
        <v>0</v>
      </c>
      <c r="R472" s="9">
        <v>6</v>
      </c>
      <c r="S472" s="33">
        <f>SUM(C472:R472)</f>
        <v>56</v>
      </c>
      <c r="T472" s="9"/>
      <c r="U472" s="9">
        <v>12</v>
      </c>
      <c r="V472" s="9"/>
      <c r="W472" s="9">
        <v>0</v>
      </c>
      <c r="X472" s="37">
        <v>0</v>
      </c>
      <c r="Y472" s="9"/>
      <c r="Z472" s="91">
        <v>369664</v>
      </c>
      <c r="AA472" s="94"/>
      <c r="AB472" s="94"/>
      <c r="AC472" s="91">
        <v>823423</v>
      </c>
      <c r="AD472" s="9"/>
      <c r="AE472" s="33">
        <f t="shared" ref="AE472:AE495" si="219">SUM(AC472:AD472)</f>
        <v>823423</v>
      </c>
      <c r="AF472" s="9"/>
      <c r="AG472" s="91">
        <v>73</v>
      </c>
      <c r="AH472" s="92">
        <v>47</v>
      </c>
      <c r="AI472" s="92">
        <v>130</v>
      </c>
      <c r="AJ472" s="93"/>
      <c r="AK472" s="9"/>
      <c r="AL472" s="36">
        <v>0</v>
      </c>
      <c r="AM472" s="9">
        <v>61</v>
      </c>
      <c r="AN472" s="33">
        <f>SUM(AL472:AM472)</f>
        <v>61</v>
      </c>
      <c r="AO472" s="280"/>
      <c r="AP472" s="280"/>
      <c r="AQ472" s="282"/>
      <c r="AR472" s="92">
        <v>158</v>
      </c>
      <c r="AS472" s="92">
        <v>39</v>
      </c>
      <c r="AT472" s="92">
        <v>102</v>
      </c>
      <c r="AU472" s="92">
        <v>19</v>
      </c>
      <c r="AV472" s="93">
        <v>168</v>
      </c>
      <c r="AW472" s="9"/>
      <c r="AX472" s="325">
        <v>37802</v>
      </c>
      <c r="AY472" s="37">
        <v>-1</v>
      </c>
      <c r="AZ472" s="9"/>
      <c r="BA472" s="91">
        <v>1737</v>
      </c>
      <c r="BB472" s="92">
        <v>30248229</v>
      </c>
      <c r="BC472" s="92"/>
      <c r="BD472" s="92"/>
      <c r="BE472" s="92">
        <v>97</v>
      </c>
      <c r="BF472" s="92">
        <v>9</v>
      </c>
      <c r="BG472" s="92">
        <v>1</v>
      </c>
      <c r="BH472" s="352"/>
      <c r="BI472" s="92">
        <v>2811266</v>
      </c>
      <c r="BJ472" s="343">
        <v>37812</v>
      </c>
      <c r="BK472" s="343">
        <v>37887</v>
      </c>
      <c r="BL472" s="319">
        <f>BK472-BJ472</f>
        <v>75</v>
      </c>
      <c r="BM472" s="93"/>
      <c r="BN472" s="9"/>
      <c r="BO472" s="36"/>
      <c r="BP472" s="93">
        <v>155</v>
      </c>
      <c r="BQ472" s="9"/>
      <c r="BR472" s="74">
        <v>2004</v>
      </c>
      <c r="BS472" s="75">
        <v>2002</v>
      </c>
      <c r="BT472" s="13">
        <v>13</v>
      </c>
      <c r="BU472" s="9"/>
      <c r="BV472" s="36">
        <v>0</v>
      </c>
      <c r="BW472" s="9">
        <v>7</v>
      </c>
      <c r="BX472" s="9">
        <v>0</v>
      </c>
      <c r="BY472" s="9"/>
      <c r="BZ472" s="9"/>
      <c r="CA472" s="9"/>
      <c r="CB472" s="9"/>
      <c r="CC472" s="223"/>
      <c r="CD472" s="9">
        <v>2</v>
      </c>
      <c r="CE472" s="220">
        <v>0</v>
      </c>
      <c r="CF472" s="9">
        <v>0</v>
      </c>
      <c r="CG472" s="9">
        <v>0</v>
      </c>
      <c r="CH472" s="9"/>
      <c r="CI472" s="9">
        <v>2</v>
      </c>
      <c r="CJ472" s="9">
        <v>17</v>
      </c>
      <c r="CK472" s="9"/>
      <c r="CL472" s="9"/>
      <c r="CM472" s="9">
        <v>0</v>
      </c>
      <c r="CN472" s="9"/>
      <c r="CO472" s="9">
        <v>7</v>
      </c>
      <c r="CP472" s="220"/>
      <c r="CQ472" s="9"/>
      <c r="CR472" s="9"/>
      <c r="CS472" s="9">
        <v>0</v>
      </c>
      <c r="CT472" s="9">
        <v>2</v>
      </c>
      <c r="CU472" s="9">
        <v>0</v>
      </c>
      <c r="CV472" s="9">
        <v>1</v>
      </c>
      <c r="CW472" s="9"/>
      <c r="CX472" s="9"/>
      <c r="CY472" s="9">
        <v>4</v>
      </c>
      <c r="CZ472" s="9"/>
      <c r="DA472" s="9"/>
      <c r="DB472" s="9">
        <v>0</v>
      </c>
      <c r="DC472" s="9"/>
      <c r="DD472" s="9"/>
      <c r="DE472" s="9"/>
      <c r="DF472" s="9"/>
      <c r="DG472" s="9">
        <v>0</v>
      </c>
      <c r="DH472" s="9">
        <v>0</v>
      </c>
      <c r="DI472" s="9">
        <v>2</v>
      </c>
      <c r="DJ472" s="9">
        <v>0</v>
      </c>
      <c r="DK472" s="9"/>
      <c r="DL472" s="9"/>
      <c r="DM472" s="9">
        <v>1</v>
      </c>
      <c r="DN472" s="9"/>
      <c r="DO472" s="9">
        <v>0</v>
      </c>
      <c r="DP472" s="9"/>
      <c r="DQ472" s="9"/>
      <c r="DR472" s="9"/>
      <c r="DS472" s="9">
        <v>4</v>
      </c>
      <c r="DT472" s="9">
        <v>1</v>
      </c>
      <c r="DU472" s="9">
        <v>6</v>
      </c>
      <c r="DV472" s="44">
        <f t="shared" ref="DV472:DV496" si="220">SUM(BV472:DU472)</f>
        <v>56</v>
      </c>
      <c r="DW472" s="13" t="str">
        <f t="shared" ref="DW472:DW495" si="221">IF(DV472=S472,"","PROB")</f>
        <v/>
      </c>
      <c r="DY472" s="369">
        <f>S472</f>
        <v>56</v>
      </c>
    </row>
    <row r="473" spans="1:129" customFormat="1">
      <c r="A473" s="210">
        <v>37817</v>
      </c>
      <c r="B473" s="211"/>
      <c r="C473" s="8">
        <v>2</v>
      </c>
      <c r="D473" s="10">
        <v>14</v>
      </c>
      <c r="E473" s="10">
        <v>3</v>
      </c>
      <c r="F473" s="59">
        <v>0</v>
      </c>
      <c r="G473" s="59">
        <v>5</v>
      </c>
      <c r="H473" s="59">
        <v>2</v>
      </c>
      <c r="I473" s="59">
        <v>0</v>
      </c>
      <c r="J473" s="59">
        <v>12</v>
      </c>
      <c r="K473" s="59">
        <v>2</v>
      </c>
      <c r="L473" s="59">
        <v>0</v>
      </c>
      <c r="M473" s="59">
        <v>0</v>
      </c>
      <c r="N473" s="59">
        <v>0</v>
      </c>
      <c r="O473" s="59">
        <v>5</v>
      </c>
      <c r="P473" s="59">
        <v>0</v>
      </c>
      <c r="Q473" s="59">
        <v>0</v>
      </c>
      <c r="R473" s="59">
        <v>6</v>
      </c>
      <c r="S473" s="35">
        <f>SUM(C473:R473)</f>
        <v>51</v>
      </c>
      <c r="T473" s="59"/>
      <c r="U473" s="59">
        <v>16</v>
      </c>
      <c r="V473" s="59"/>
      <c r="W473" s="59">
        <v>0</v>
      </c>
      <c r="X473" s="5">
        <v>0</v>
      </c>
      <c r="Y473" s="10"/>
      <c r="Z473" s="61">
        <v>2392576</v>
      </c>
      <c r="AA473" s="98"/>
      <c r="AB473" s="98"/>
      <c r="AC473" s="61">
        <v>1285534</v>
      </c>
      <c r="AD473" s="59"/>
      <c r="AE473" s="35">
        <f t="shared" si="219"/>
        <v>1285534</v>
      </c>
      <c r="AF473" s="10"/>
      <c r="AG473" s="61">
        <v>97</v>
      </c>
      <c r="AH473" s="59">
        <v>52</v>
      </c>
      <c r="AI473" s="59">
        <v>162</v>
      </c>
      <c r="AJ473" s="62"/>
      <c r="AK473" s="10"/>
      <c r="AL473" s="8"/>
      <c r="AM473" s="10"/>
      <c r="AN473" s="35"/>
      <c r="AO473" s="279"/>
      <c r="AP473" s="279"/>
      <c r="AQ473" s="281"/>
      <c r="AR473" s="59">
        <v>158</v>
      </c>
      <c r="AS473" s="59">
        <v>38</v>
      </c>
      <c r="AT473" s="59">
        <v>102</v>
      </c>
      <c r="AU473" s="59">
        <v>19</v>
      </c>
      <c r="AV473" s="62">
        <v>167</v>
      </c>
      <c r="AW473" s="10"/>
      <c r="AX473" s="326">
        <v>37817</v>
      </c>
      <c r="AY473" s="5">
        <v>0</v>
      </c>
      <c r="AZ473" s="10"/>
      <c r="BA473" s="61"/>
      <c r="BB473" s="59"/>
      <c r="BC473" s="59"/>
      <c r="BD473" s="59"/>
      <c r="BE473" s="59"/>
      <c r="BF473" s="59"/>
      <c r="BG473" s="59"/>
      <c r="BH473" s="351"/>
      <c r="BI473" s="59"/>
      <c r="BJ473" s="342"/>
      <c r="BK473" s="342"/>
      <c r="BL473" s="320"/>
      <c r="BM473" s="62"/>
      <c r="BN473" s="10"/>
      <c r="BO473" s="8"/>
      <c r="BP473" s="62"/>
      <c r="BQ473" s="10"/>
      <c r="BR473" s="29">
        <v>2004</v>
      </c>
      <c r="BS473" s="64">
        <v>2003</v>
      </c>
      <c r="BT473" s="14">
        <v>14</v>
      </c>
      <c r="BU473" s="10"/>
      <c r="BV473" s="8">
        <v>0</v>
      </c>
      <c r="BW473" s="10">
        <v>0</v>
      </c>
      <c r="BX473" s="59">
        <v>0</v>
      </c>
      <c r="BY473" s="59"/>
      <c r="BZ473" s="59"/>
      <c r="CA473" s="59"/>
      <c r="CB473" s="59"/>
      <c r="CC473" s="221"/>
      <c r="CD473" s="59">
        <v>4</v>
      </c>
      <c r="CE473" s="317">
        <v>0</v>
      </c>
      <c r="CF473" s="59">
        <v>0</v>
      </c>
      <c r="CG473" s="59">
        <v>0</v>
      </c>
      <c r="CH473" s="59"/>
      <c r="CI473" s="59">
        <v>4</v>
      </c>
      <c r="CJ473" s="59">
        <v>6</v>
      </c>
      <c r="CK473" s="59"/>
      <c r="CL473" s="59"/>
      <c r="CM473" s="59">
        <v>0</v>
      </c>
      <c r="CN473" s="59"/>
      <c r="CO473" s="59">
        <v>3</v>
      </c>
      <c r="CP473" s="317"/>
      <c r="CQ473" s="59"/>
      <c r="CR473" s="59"/>
      <c r="CS473" s="59">
        <v>0</v>
      </c>
      <c r="CT473" s="59">
        <v>6</v>
      </c>
      <c r="CU473" s="59">
        <v>0</v>
      </c>
      <c r="CV473" s="59">
        <v>7</v>
      </c>
      <c r="CW473" s="59"/>
      <c r="CX473" s="59"/>
      <c r="CY473" s="59">
        <v>2</v>
      </c>
      <c r="CZ473" s="59"/>
      <c r="DA473" s="59"/>
      <c r="DB473" s="59">
        <v>0</v>
      </c>
      <c r="DC473" s="59"/>
      <c r="DD473" s="59"/>
      <c r="DE473" s="59"/>
      <c r="DF473" s="59"/>
      <c r="DG473" s="59">
        <v>2</v>
      </c>
      <c r="DH473" s="59">
        <v>4</v>
      </c>
      <c r="DI473" s="59">
        <v>1</v>
      </c>
      <c r="DJ473" s="59">
        <v>0</v>
      </c>
      <c r="DK473" s="59"/>
      <c r="DL473" s="59"/>
      <c r="DM473" s="59">
        <v>0</v>
      </c>
      <c r="DN473" s="59"/>
      <c r="DO473" s="59">
        <v>0</v>
      </c>
      <c r="DP473" s="59"/>
      <c r="DQ473" s="59"/>
      <c r="DR473" s="59"/>
      <c r="DS473" s="59">
        <v>5</v>
      </c>
      <c r="DT473" s="59">
        <v>1</v>
      </c>
      <c r="DU473" s="59">
        <v>6</v>
      </c>
      <c r="DV473" s="38">
        <f t="shared" si="220"/>
        <v>51</v>
      </c>
      <c r="DW473" s="14" t="str">
        <f t="shared" si="221"/>
        <v/>
      </c>
      <c r="DY473" s="369">
        <f>S473</f>
        <v>51</v>
      </c>
    </row>
    <row r="474" spans="1:129" customFormat="1">
      <c r="A474" s="210">
        <v>37834</v>
      </c>
      <c r="B474" s="211"/>
      <c r="C474" s="8">
        <v>10</v>
      </c>
      <c r="D474" s="10">
        <v>18</v>
      </c>
      <c r="E474" s="10">
        <v>2</v>
      </c>
      <c r="F474" s="59">
        <v>0</v>
      </c>
      <c r="G474" s="59">
        <v>0</v>
      </c>
      <c r="H474" s="59">
        <v>1</v>
      </c>
      <c r="I474" s="59">
        <v>0</v>
      </c>
      <c r="J474" s="59">
        <v>12</v>
      </c>
      <c r="K474" s="59">
        <v>0</v>
      </c>
      <c r="L474" s="59">
        <v>2</v>
      </c>
      <c r="M474" s="59">
        <v>0</v>
      </c>
      <c r="N474" s="59">
        <v>0</v>
      </c>
      <c r="O474" s="59">
        <v>7</v>
      </c>
      <c r="P474" s="59">
        <v>1</v>
      </c>
      <c r="Q474" s="59">
        <v>0</v>
      </c>
      <c r="R474" s="59">
        <v>2</v>
      </c>
      <c r="S474" s="35">
        <f>SUM(C474:R474)</f>
        <v>55</v>
      </c>
      <c r="T474" s="59"/>
      <c r="U474" s="59">
        <v>11</v>
      </c>
      <c r="V474" s="59"/>
      <c r="W474" s="59">
        <v>0</v>
      </c>
      <c r="X474" s="5">
        <v>0</v>
      </c>
      <c r="Y474" s="10"/>
      <c r="Z474" s="61">
        <v>2316800</v>
      </c>
      <c r="AA474" s="95"/>
      <c r="AB474" s="95"/>
      <c r="AC474" s="61">
        <v>1574500</v>
      </c>
      <c r="AD474" s="59"/>
      <c r="AE474" s="35">
        <f t="shared" si="219"/>
        <v>1574500</v>
      </c>
      <c r="AF474" s="10"/>
      <c r="AG474" s="61">
        <v>80</v>
      </c>
      <c r="AH474" s="59">
        <v>55</v>
      </c>
      <c r="AI474" s="59">
        <v>148</v>
      </c>
      <c r="AJ474" s="62"/>
      <c r="AK474" s="10"/>
      <c r="AL474" s="8"/>
      <c r="AM474" s="10"/>
      <c r="AN474" s="35"/>
      <c r="AO474" s="279"/>
      <c r="AP474" s="279"/>
      <c r="AQ474" s="281"/>
      <c r="AR474" s="59">
        <v>156</v>
      </c>
      <c r="AS474" s="59">
        <v>41</v>
      </c>
      <c r="AT474" s="59">
        <v>103</v>
      </c>
      <c r="AU474" s="59">
        <v>22</v>
      </c>
      <c r="AV474" s="62">
        <v>175</v>
      </c>
      <c r="AW474" s="10"/>
      <c r="AX474" s="326">
        <v>37833</v>
      </c>
      <c r="AY474" s="5">
        <v>-1</v>
      </c>
      <c r="AZ474" s="10"/>
      <c r="BA474" s="61">
        <v>1739</v>
      </c>
      <c r="BB474" s="59">
        <v>30298559</v>
      </c>
      <c r="BC474" s="59"/>
      <c r="BD474" s="59"/>
      <c r="BE474" s="59">
        <v>57</v>
      </c>
      <c r="BF474" s="59">
        <v>4</v>
      </c>
      <c r="BG474" s="59">
        <v>0</v>
      </c>
      <c r="BH474" s="351"/>
      <c r="BI474" s="59">
        <v>1445104</v>
      </c>
      <c r="BJ474" s="342">
        <v>37843</v>
      </c>
      <c r="BK474" s="342">
        <v>37900</v>
      </c>
      <c r="BL474" s="320">
        <f>BK474-BJ474</f>
        <v>57</v>
      </c>
      <c r="BM474" s="62"/>
      <c r="BN474" s="10"/>
      <c r="BO474" s="8"/>
      <c r="BP474" s="62">
        <v>155</v>
      </c>
      <c r="BQ474" s="10"/>
      <c r="BR474" s="29">
        <v>2004</v>
      </c>
      <c r="BS474" s="64">
        <v>2003</v>
      </c>
      <c r="BT474" s="14">
        <v>15</v>
      </c>
      <c r="BU474" s="10"/>
      <c r="BV474" s="8">
        <v>1</v>
      </c>
      <c r="BW474" s="10">
        <v>0</v>
      </c>
      <c r="BX474" s="59">
        <v>1</v>
      </c>
      <c r="BY474" s="59"/>
      <c r="BZ474" s="59"/>
      <c r="CA474" s="59"/>
      <c r="CB474" s="59"/>
      <c r="CC474" s="221"/>
      <c r="CD474" s="59">
        <v>5</v>
      </c>
      <c r="CE474" s="317">
        <v>0</v>
      </c>
      <c r="CF474" s="59">
        <v>0</v>
      </c>
      <c r="CG474" s="59">
        <v>0</v>
      </c>
      <c r="CH474" s="59"/>
      <c r="CI474" s="59">
        <v>0</v>
      </c>
      <c r="CJ474" s="59">
        <v>1</v>
      </c>
      <c r="CK474" s="59"/>
      <c r="CL474" s="59"/>
      <c r="CM474" s="59">
        <v>1</v>
      </c>
      <c r="CN474" s="59"/>
      <c r="CO474" s="59">
        <v>7</v>
      </c>
      <c r="CP474" s="317"/>
      <c r="CQ474" s="59"/>
      <c r="CR474" s="59"/>
      <c r="CS474" s="59">
        <v>0</v>
      </c>
      <c r="CT474" s="59">
        <v>19</v>
      </c>
      <c r="CU474" s="59">
        <v>0</v>
      </c>
      <c r="CV474" s="59">
        <v>1</v>
      </c>
      <c r="CW474" s="59"/>
      <c r="CX474" s="59"/>
      <c r="CY474" s="59">
        <v>1</v>
      </c>
      <c r="CZ474" s="59"/>
      <c r="DA474" s="59"/>
      <c r="DB474" s="59">
        <v>6</v>
      </c>
      <c r="DC474" s="59"/>
      <c r="DD474" s="59"/>
      <c r="DE474" s="59"/>
      <c r="DF474" s="59"/>
      <c r="DG474" s="59">
        <v>3</v>
      </c>
      <c r="DH474" s="59">
        <v>1</v>
      </c>
      <c r="DI474" s="59">
        <v>1</v>
      </c>
      <c r="DJ474" s="59">
        <v>0</v>
      </c>
      <c r="DK474" s="59"/>
      <c r="DL474" s="59"/>
      <c r="DM474" s="59">
        <v>0</v>
      </c>
      <c r="DN474" s="59"/>
      <c r="DO474" s="59">
        <v>1</v>
      </c>
      <c r="DP474" s="59"/>
      <c r="DQ474" s="59"/>
      <c r="DR474" s="59"/>
      <c r="DS474" s="59">
        <v>3</v>
      </c>
      <c r="DT474" s="59">
        <v>1</v>
      </c>
      <c r="DU474" s="59">
        <v>2</v>
      </c>
      <c r="DV474" s="38">
        <f t="shared" si="220"/>
        <v>55</v>
      </c>
      <c r="DW474" s="14" t="str">
        <f t="shared" si="221"/>
        <v/>
      </c>
      <c r="DY474" s="369">
        <f>S474</f>
        <v>55</v>
      </c>
    </row>
    <row r="475" spans="1:129" customFormat="1">
      <c r="A475" s="210">
        <v>37848</v>
      </c>
      <c r="B475" s="211"/>
      <c r="C475" s="61">
        <v>0</v>
      </c>
      <c r="D475" s="59">
        <v>16</v>
      </c>
      <c r="E475" s="59">
        <v>1</v>
      </c>
      <c r="F475" s="59">
        <v>0</v>
      </c>
      <c r="G475" s="59">
        <v>1</v>
      </c>
      <c r="H475" s="59">
        <v>3</v>
      </c>
      <c r="I475" s="59">
        <v>0</v>
      </c>
      <c r="J475" s="59">
        <v>8</v>
      </c>
      <c r="K475" s="59">
        <v>0</v>
      </c>
      <c r="L475" s="59">
        <v>0</v>
      </c>
      <c r="M475" s="59">
        <v>0</v>
      </c>
      <c r="N475" s="59">
        <v>0</v>
      </c>
      <c r="O475" s="59">
        <v>2</v>
      </c>
      <c r="P475" s="59">
        <v>0</v>
      </c>
      <c r="Q475" s="59">
        <v>0</v>
      </c>
      <c r="R475" s="59">
        <v>3</v>
      </c>
      <c r="S475" s="35">
        <f t="shared" ref="S475:S493" si="222">SUM(C475:R475)</f>
        <v>34</v>
      </c>
      <c r="T475" s="59"/>
      <c r="U475" s="59">
        <v>8</v>
      </c>
      <c r="V475" s="59"/>
      <c r="W475" s="59">
        <v>0</v>
      </c>
      <c r="X475" s="62">
        <v>0</v>
      </c>
      <c r="Y475" s="59"/>
      <c r="Z475" s="61">
        <v>539136</v>
      </c>
      <c r="AA475" s="59"/>
      <c r="AB475" s="59"/>
      <c r="AC475" s="61">
        <v>392500</v>
      </c>
      <c r="AD475" s="59"/>
      <c r="AE475" s="35">
        <f t="shared" si="219"/>
        <v>392500</v>
      </c>
      <c r="AF475" s="10"/>
      <c r="AG475" s="61">
        <v>51</v>
      </c>
      <c r="AH475" s="59">
        <v>1</v>
      </c>
      <c r="AI475" s="59">
        <v>62</v>
      </c>
      <c r="AJ475" s="62"/>
      <c r="AK475" s="10"/>
      <c r="AL475" s="8"/>
      <c r="AM475" s="10"/>
      <c r="AN475" s="35"/>
      <c r="AO475" s="279"/>
      <c r="AP475" s="279"/>
      <c r="AQ475" s="281"/>
      <c r="AR475" s="59">
        <v>157</v>
      </c>
      <c r="AS475" s="59">
        <v>41</v>
      </c>
      <c r="AT475" s="59">
        <v>98</v>
      </c>
      <c r="AU475" s="59">
        <v>21</v>
      </c>
      <c r="AV475" s="62">
        <v>169</v>
      </c>
      <c r="AW475" s="10"/>
      <c r="AX475" s="326">
        <v>37847</v>
      </c>
      <c r="AY475" s="5">
        <v>-1</v>
      </c>
      <c r="AZ475" s="10"/>
      <c r="BA475" s="61"/>
      <c r="BB475" s="59"/>
      <c r="BC475" s="59"/>
      <c r="BD475" s="59"/>
      <c r="BE475" s="59"/>
      <c r="BF475" s="59"/>
      <c r="BG475" s="59"/>
      <c r="BH475" s="351"/>
      <c r="BI475" s="59"/>
      <c r="BJ475" s="342"/>
      <c r="BK475" s="342"/>
      <c r="BL475" s="320"/>
      <c r="BM475" s="62"/>
      <c r="BN475" s="10"/>
      <c r="BO475" s="8"/>
      <c r="BP475" s="62"/>
      <c r="BQ475" s="10"/>
      <c r="BR475" s="29">
        <v>2004</v>
      </c>
      <c r="BS475" s="64">
        <v>2003</v>
      </c>
      <c r="BT475" s="14">
        <v>16</v>
      </c>
      <c r="BU475" s="10"/>
      <c r="BV475" s="8">
        <v>0</v>
      </c>
      <c r="BW475" s="59">
        <v>1</v>
      </c>
      <c r="BX475" s="59">
        <v>1</v>
      </c>
      <c r="BY475" s="59"/>
      <c r="BZ475" s="59"/>
      <c r="CA475" s="59"/>
      <c r="CB475" s="59"/>
      <c r="CC475" s="221"/>
      <c r="CD475" s="59">
        <v>2</v>
      </c>
      <c r="CE475" s="317">
        <v>0</v>
      </c>
      <c r="CF475" s="59">
        <v>0</v>
      </c>
      <c r="CG475" s="59">
        <v>0</v>
      </c>
      <c r="CH475" s="59"/>
      <c r="CI475" s="59">
        <v>0</v>
      </c>
      <c r="CJ475" s="59">
        <v>8</v>
      </c>
      <c r="CK475" s="59"/>
      <c r="CL475" s="59"/>
      <c r="CM475" s="59">
        <v>0</v>
      </c>
      <c r="CN475" s="59"/>
      <c r="CO475" s="59">
        <v>1</v>
      </c>
      <c r="CP475" s="317"/>
      <c r="CQ475" s="59"/>
      <c r="CR475" s="59"/>
      <c r="CS475" s="59">
        <v>0</v>
      </c>
      <c r="CT475" s="59">
        <v>3</v>
      </c>
      <c r="CU475" s="59">
        <v>0</v>
      </c>
      <c r="CV475" s="59">
        <v>4</v>
      </c>
      <c r="CW475" s="59"/>
      <c r="CX475" s="59"/>
      <c r="CY475" s="59">
        <v>0</v>
      </c>
      <c r="CZ475" s="59"/>
      <c r="DA475" s="59"/>
      <c r="DB475" s="59">
        <v>0</v>
      </c>
      <c r="DC475" s="59"/>
      <c r="DD475" s="59"/>
      <c r="DE475" s="59"/>
      <c r="DF475" s="59"/>
      <c r="DG475" s="59">
        <v>0</v>
      </c>
      <c r="DH475" s="59">
        <v>0</v>
      </c>
      <c r="DI475" s="59">
        <v>1</v>
      </c>
      <c r="DJ475" s="59">
        <v>0</v>
      </c>
      <c r="DK475" s="59"/>
      <c r="DL475" s="59"/>
      <c r="DM475" s="59">
        <v>8</v>
      </c>
      <c r="DN475" s="59"/>
      <c r="DO475" s="59">
        <v>2</v>
      </c>
      <c r="DP475" s="59"/>
      <c r="DQ475" s="59"/>
      <c r="DR475" s="59"/>
      <c r="DS475" s="59">
        <v>0</v>
      </c>
      <c r="DT475" s="59">
        <v>0</v>
      </c>
      <c r="DU475" s="59">
        <v>3</v>
      </c>
      <c r="DV475" s="38">
        <f t="shared" si="220"/>
        <v>34</v>
      </c>
      <c r="DW475" s="14" t="str">
        <f t="shared" si="221"/>
        <v/>
      </c>
      <c r="DY475" s="369">
        <f>S475</f>
        <v>34</v>
      </c>
    </row>
    <row r="476" spans="1:129" customFormat="1">
      <c r="A476" s="210">
        <v>37865</v>
      </c>
      <c r="B476" s="211"/>
      <c r="C476" s="61">
        <v>1</v>
      </c>
      <c r="D476" s="59">
        <v>26</v>
      </c>
      <c r="E476" s="59">
        <v>0</v>
      </c>
      <c r="F476" s="59">
        <v>0</v>
      </c>
      <c r="G476" s="59">
        <v>0</v>
      </c>
      <c r="H476" s="59">
        <v>0</v>
      </c>
      <c r="I476" s="59">
        <v>0</v>
      </c>
      <c r="J476" s="59">
        <v>19</v>
      </c>
      <c r="K476" s="59">
        <v>0</v>
      </c>
      <c r="L476" s="59">
        <v>0</v>
      </c>
      <c r="M476" s="59">
        <v>0</v>
      </c>
      <c r="N476" s="59">
        <v>0</v>
      </c>
      <c r="O476" s="59">
        <v>0</v>
      </c>
      <c r="P476" s="59">
        <v>0</v>
      </c>
      <c r="Q476" s="59">
        <v>1</v>
      </c>
      <c r="R476" s="59">
        <v>1</v>
      </c>
      <c r="S476" s="35">
        <f t="shared" si="222"/>
        <v>48</v>
      </c>
      <c r="T476" s="59"/>
      <c r="U476" s="59">
        <v>3</v>
      </c>
      <c r="V476" s="59"/>
      <c r="W476" s="59">
        <v>0</v>
      </c>
      <c r="X476" s="62">
        <v>0</v>
      </c>
      <c r="Y476" s="59"/>
      <c r="Z476" s="61">
        <v>2721792</v>
      </c>
      <c r="AA476" s="59"/>
      <c r="AB476" s="59"/>
      <c r="AC476" s="61">
        <v>1620000</v>
      </c>
      <c r="AD476" s="59"/>
      <c r="AE476" s="35">
        <f t="shared" si="219"/>
        <v>1620000</v>
      </c>
      <c r="AF476" s="10"/>
      <c r="AG476" s="61">
        <v>88</v>
      </c>
      <c r="AH476" s="59">
        <v>66</v>
      </c>
      <c r="AI476" s="59">
        <v>166</v>
      </c>
      <c r="AJ476" s="62"/>
      <c r="AK476" s="10"/>
      <c r="AL476" s="8"/>
      <c r="AM476" s="10"/>
      <c r="AN476" s="35"/>
      <c r="AO476" s="279"/>
      <c r="AP476" s="279"/>
      <c r="AQ476" s="281"/>
      <c r="AR476" s="59">
        <v>156</v>
      </c>
      <c r="AS476" s="59">
        <v>41</v>
      </c>
      <c r="AT476" s="59">
        <v>91</v>
      </c>
      <c r="AU476" s="59">
        <v>21</v>
      </c>
      <c r="AV476" s="62">
        <v>161</v>
      </c>
      <c r="AW476" s="10"/>
      <c r="AX476" s="326">
        <v>37863</v>
      </c>
      <c r="AY476" s="5">
        <v>-2</v>
      </c>
      <c r="AZ476" s="10"/>
      <c r="BA476" s="61">
        <v>1737</v>
      </c>
      <c r="BB476" s="59">
        <v>30240459</v>
      </c>
      <c r="BC476" s="59"/>
      <c r="BD476" s="59"/>
      <c r="BE476" s="59">
        <v>40</v>
      </c>
      <c r="BF476" s="59">
        <v>1</v>
      </c>
      <c r="BG476" s="59">
        <v>3</v>
      </c>
      <c r="BH476" s="351"/>
      <c r="BI476" s="59">
        <v>863595</v>
      </c>
      <c r="BJ476" s="342">
        <v>37874</v>
      </c>
      <c r="BK476" s="342">
        <v>37944</v>
      </c>
      <c r="BL476" s="320">
        <f>BK476-BJ476</f>
        <v>70</v>
      </c>
      <c r="BM476" s="62"/>
      <c r="BN476" s="59"/>
      <c r="BO476" s="61"/>
      <c r="BP476" s="62">
        <v>155</v>
      </c>
      <c r="BQ476" s="10"/>
      <c r="BR476" s="29">
        <v>2004</v>
      </c>
      <c r="BS476" s="64">
        <v>2003</v>
      </c>
      <c r="BT476" s="14">
        <v>17</v>
      </c>
      <c r="BU476" s="10"/>
      <c r="BV476" s="8">
        <v>1</v>
      </c>
      <c r="BW476" s="59">
        <v>0</v>
      </c>
      <c r="BX476" s="59">
        <v>0</v>
      </c>
      <c r="BY476" s="59"/>
      <c r="BZ476" s="59"/>
      <c r="CA476" s="59"/>
      <c r="CB476" s="59"/>
      <c r="CC476" s="221"/>
      <c r="CD476" s="59">
        <v>1</v>
      </c>
      <c r="CE476" s="317">
        <v>0</v>
      </c>
      <c r="CF476" s="59">
        <v>0</v>
      </c>
      <c r="CG476" s="59">
        <v>0</v>
      </c>
      <c r="CH476" s="59"/>
      <c r="CI476" s="59">
        <v>2</v>
      </c>
      <c r="CJ476" s="59">
        <v>23</v>
      </c>
      <c r="CK476" s="59"/>
      <c r="CL476" s="59"/>
      <c r="CM476" s="59">
        <v>1</v>
      </c>
      <c r="CN476" s="59"/>
      <c r="CO476" s="59">
        <v>0</v>
      </c>
      <c r="CP476" s="317"/>
      <c r="CQ476" s="59"/>
      <c r="CR476" s="59"/>
      <c r="CS476" s="59">
        <v>0</v>
      </c>
      <c r="CT476" s="59">
        <v>1</v>
      </c>
      <c r="CU476" s="59">
        <v>0</v>
      </c>
      <c r="CV476" s="59">
        <v>0</v>
      </c>
      <c r="CW476" s="59"/>
      <c r="CX476" s="59"/>
      <c r="CY476" s="59">
        <v>0</v>
      </c>
      <c r="CZ476" s="59"/>
      <c r="DA476" s="59"/>
      <c r="DB476" s="59">
        <v>6</v>
      </c>
      <c r="DC476" s="59"/>
      <c r="DD476" s="59"/>
      <c r="DE476" s="59"/>
      <c r="DF476" s="59"/>
      <c r="DG476" s="59">
        <v>0</v>
      </c>
      <c r="DH476" s="59">
        <v>6</v>
      </c>
      <c r="DI476" s="59">
        <v>0</v>
      </c>
      <c r="DJ476" s="59">
        <v>0</v>
      </c>
      <c r="DK476" s="59"/>
      <c r="DL476" s="59"/>
      <c r="DM476" s="59">
        <v>6</v>
      </c>
      <c r="DN476" s="59"/>
      <c r="DO476" s="59">
        <v>0</v>
      </c>
      <c r="DP476" s="59"/>
      <c r="DQ476" s="59"/>
      <c r="DR476" s="59"/>
      <c r="DS476" s="59">
        <v>0</v>
      </c>
      <c r="DT476" s="59">
        <v>0</v>
      </c>
      <c r="DU476" s="59">
        <v>1</v>
      </c>
      <c r="DV476" s="38">
        <f t="shared" si="220"/>
        <v>48</v>
      </c>
      <c r="DW476" s="14" t="str">
        <f t="shared" si="221"/>
        <v/>
      </c>
      <c r="DY476" s="369">
        <f>S476</f>
        <v>48</v>
      </c>
    </row>
    <row r="477" spans="1:129" customFormat="1">
      <c r="A477" s="210">
        <v>37879</v>
      </c>
      <c r="B477" s="211"/>
      <c r="C477" s="61">
        <v>0</v>
      </c>
      <c r="D477" s="59">
        <v>12</v>
      </c>
      <c r="E477" s="59">
        <v>2</v>
      </c>
      <c r="F477" s="59">
        <v>0</v>
      </c>
      <c r="G477" s="59">
        <v>2</v>
      </c>
      <c r="H477" s="59">
        <v>0</v>
      </c>
      <c r="I477" s="59">
        <v>0</v>
      </c>
      <c r="J477" s="59">
        <v>6</v>
      </c>
      <c r="K477" s="59">
        <v>2</v>
      </c>
      <c r="L477" s="59">
        <v>0</v>
      </c>
      <c r="M477" s="59">
        <v>0</v>
      </c>
      <c r="N477" s="59">
        <v>0</v>
      </c>
      <c r="O477" s="59">
        <v>0</v>
      </c>
      <c r="P477" s="59">
        <v>4</v>
      </c>
      <c r="Q477" s="59">
        <v>0</v>
      </c>
      <c r="R477" s="59">
        <v>0</v>
      </c>
      <c r="S477" s="35">
        <f t="shared" si="222"/>
        <v>28</v>
      </c>
      <c r="T477" s="59"/>
      <c r="U477" s="59">
        <v>13</v>
      </c>
      <c r="V477" s="59"/>
      <c r="W477" s="59">
        <v>0</v>
      </c>
      <c r="X477" s="62">
        <v>1</v>
      </c>
      <c r="Y477" s="59"/>
      <c r="Z477" s="61">
        <v>2481664</v>
      </c>
      <c r="AA477" s="59"/>
      <c r="AB477" s="59"/>
      <c r="AC477" s="61">
        <v>395340</v>
      </c>
      <c r="AD477" s="59"/>
      <c r="AE477" s="35">
        <f t="shared" si="219"/>
        <v>395340</v>
      </c>
      <c r="AF477" s="10"/>
      <c r="AG477" s="61">
        <v>47</v>
      </c>
      <c r="AH477" s="59">
        <v>70</v>
      </c>
      <c r="AI477" s="59">
        <v>128</v>
      </c>
      <c r="AJ477" s="62"/>
      <c r="AK477" s="10"/>
      <c r="AL477" s="8"/>
      <c r="AM477" s="10"/>
      <c r="AN477" s="35"/>
      <c r="AO477" s="279"/>
      <c r="AP477" s="279"/>
      <c r="AQ477" s="281"/>
      <c r="AR477" s="59">
        <v>156</v>
      </c>
      <c r="AS477" s="59">
        <v>42</v>
      </c>
      <c r="AT477" s="59">
        <v>92</v>
      </c>
      <c r="AU477" s="59">
        <v>21</v>
      </c>
      <c r="AV477" s="62">
        <v>163</v>
      </c>
      <c r="AW477" s="10"/>
      <c r="AX477" s="326">
        <v>37877</v>
      </c>
      <c r="AY477" s="5">
        <v>-2</v>
      </c>
      <c r="AZ477" s="10"/>
      <c r="BA477" s="61"/>
      <c r="BB477" s="59"/>
      <c r="BC477" s="59"/>
      <c r="BD477" s="59"/>
      <c r="BE477" s="59"/>
      <c r="BF477" s="59"/>
      <c r="BG477" s="59"/>
      <c r="BH477" s="351"/>
      <c r="BI477" s="59"/>
      <c r="BJ477" s="342"/>
      <c r="BK477" s="342"/>
      <c r="BL477" s="320"/>
      <c r="BM477" s="62"/>
      <c r="BN477" s="10"/>
      <c r="BO477" s="8"/>
      <c r="BP477" s="62"/>
      <c r="BQ477" s="10"/>
      <c r="BR477" s="29">
        <v>2004</v>
      </c>
      <c r="BS477" s="64">
        <v>2003</v>
      </c>
      <c r="BT477" s="14">
        <v>18</v>
      </c>
      <c r="BU477" s="10"/>
      <c r="BV477" s="8">
        <v>0</v>
      </c>
      <c r="BW477" s="59">
        <v>0</v>
      </c>
      <c r="BX477" s="59">
        <v>0</v>
      </c>
      <c r="BY477" s="59"/>
      <c r="BZ477" s="59"/>
      <c r="CA477" s="59"/>
      <c r="CB477" s="59"/>
      <c r="CC477" s="221"/>
      <c r="CD477" s="59">
        <v>4</v>
      </c>
      <c r="CE477" s="317">
        <v>0</v>
      </c>
      <c r="CF477" s="59">
        <v>0</v>
      </c>
      <c r="CG477" s="59">
        <v>0</v>
      </c>
      <c r="CH477" s="59"/>
      <c r="CI477" s="59">
        <v>2</v>
      </c>
      <c r="CJ477" s="59">
        <v>3</v>
      </c>
      <c r="CK477" s="59"/>
      <c r="CL477" s="59"/>
      <c r="CM477" s="59">
        <v>3</v>
      </c>
      <c r="CN477" s="59"/>
      <c r="CO477" s="59">
        <v>4</v>
      </c>
      <c r="CP477" s="317"/>
      <c r="CQ477" s="59"/>
      <c r="CR477" s="59"/>
      <c r="CS477" s="59">
        <v>0</v>
      </c>
      <c r="CT477" s="59">
        <v>7</v>
      </c>
      <c r="CU477" s="59">
        <v>0</v>
      </c>
      <c r="CV477" s="59">
        <v>3</v>
      </c>
      <c r="CW477" s="59"/>
      <c r="CX477" s="59"/>
      <c r="CY477" s="59">
        <v>0</v>
      </c>
      <c r="CZ477" s="59"/>
      <c r="DA477" s="59"/>
      <c r="DB477" s="59">
        <v>0</v>
      </c>
      <c r="DC477" s="59"/>
      <c r="DD477" s="59"/>
      <c r="DE477" s="59"/>
      <c r="DF477" s="59"/>
      <c r="DG477" s="59">
        <v>0</v>
      </c>
      <c r="DH477" s="59">
        <v>0</v>
      </c>
      <c r="DI477" s="59">
        <v>0</v>
      </c>
      <c r="DJ477" s="59">
        <v>0</v>
      </c>
      <c r="DK477" s="59"/>
      <c r="DL477" s="59"/>
      <c r="DM477" s="59">
        <v>2</v>
      </c>
      <c r="DN477" s="59"/>
      <c r="DO477" s="59">
        <v>0</v>
      </c>
      <c r="DP477" s="59"/>
      <c r="DQ477" s="59"/>
      <c r="DR477" s="59"/>
      <c r="DS477" s="59">
        <v>0</v>
      </c>
      <c r="DT477" s="59">
        <v>0</v>
      </c>
      <c r="DU477" s="59"/>
      <c r="DV477" s="38">
        <f t="shared" si="220"/>
        <v>28</v>
      </c>
      <c r="DW477" s="14" t="str">
        <f t="shared" si="221"/>
        <v/>
      </c>
      <c r="DY477" s="369">
        <f t="shared" ref="DY477:DY495" si="223">S477</f>
        <v>28</v>
      </c>
    </row>
    <row r="478" spans="1:129" customFormat="1">
      <c r="A478" s="210">
        <v>37895</v>
      </c>
      <c r="B478" s="211"/>
      <c r="C478" s="61">
        <v>2</v>
      </c>
      <c r="D478" s="59">
        <v>13</v>
      </c>
      <c r="E478" s="59">
        <v>7</v>
      </c>
      <c r="F478" s="59">
        <v>1</v>
      </c>
      <c r="G478" s="59">
        <v>1</v>
      </c>
      <c r="H478" s="59">
        <v>1</v>
      </c>
      <c r="I478" s="59">
        <v>0</v>
      </c>
      <c r="J478" s="59">
        <v>18</v>
      </c>
      <c r="K478" s="59">
        <v>0</v>
      </c>
      <c r="L478" s="59">
        <v>0</v>
      </c>
      <c r="M478" s="59">
        <v>0</v>
      </c>
      <c r="N478" s="59">
        <v>0</v>
      </c>
      <c r="O478" s="59">
        <v>5</v>
      </c>
      <c r="P478" s="59">
        <v>6</v>
      </c>
      <c r="Q478" s="59">
        <v>0</v>
      </c>
      <c r="R478" s="59">
        <v>0</v>
      </c>
      <c r="S478" s="35">
        <f t="shared" si="222"/>
        <v>54</v>
      </c>
      <c r="T478" s="59"/>
      <c r="U478" s="59">
        <v>12</v>
      </c>
      <c r="V478" s="59"/>
      <c r="W478" s="59">
        <v>0</v>
      </c>
      <c r="X478" s="5">
        <v>0</v>
      </c>
      <c r="Y478" s="10"/>
      <c r="Z478" s="61">
        <v>2905600</v>
      </c>
      <c r="AA478" s="59"/>
      <c r="AB478" s="59"/>
      <c r="AC478" s="61">
        <v>392200</v>
      </c>
      <c r="AD478" s="59"/>
      <c r="AE478" s="35">
        <f t="shared" si="219"/>
        <v>392200</v>
      </c>
      <c r="AF478" s="10"/>
      <c r="AG478" s="61">
        <v>72</v>
      </c>
      <c r="AH478" s="59">
        <v>77</v>
      </c>
      <c r="AI478" s="59">
        <v>162</v>
      </c>
      <c r="AJ478" s="62"/>
      <c r="AK478" s="10"/>
      <c r="AL478" s="61">
        <v>0</v>
      </c>
      <c r="AM478" s="59">
        <v>64</v>
      </c>
      <c r="AN478" s="35">
        <f>SUM(AL478:AM478)</f>
        <v>64</v>
      </c>
      <c r="AO478" s="279"/>
      <c r="AP478" s="279"/>
      <c r="AQ478" s="281"/>
      <c r="AR478" s="59">
        <v>154</v>
      </c>
      <c r="AS478" s="59">
        <v>43</v>
      </c>
      <c r="AT478" s="59">
        <v>87</v>
      </c>
      <c r="AU478" s="59">
        <v>21</v>
      </c>
      <c r="AV478" s="62">
        <v>159</v>
      </c>
      <c r="AW478" s="10"/>
      <c r="AX478" s="326">
        <v>37894</v>
      </c>
      <c r="AY478" s="5">
        <v>-1</v>
      </c>
      <c r="AZ478" s="10"/>
      <c r="BA478" s="61">
        <v>1746</v>
      </c>
      <c r="BB478" s="59">
        <v>30198126</v>
      </c>
      <c r="BC478" s="59"/>
      <c r="BD478" s="59"/>
      <c r="BE478" s="59">
        <v>60</v>
      </c>
      <c r="BF478" s="59">
        <v>10</v>
      </c>
      <c r="BG478" s="59">
        <v>1</v>
      </c>
      <c r="BH478" s="351"/>
      <c r="BI478" s="59">
        <v>2300730</v>
      </c>
      <c r="BJ478" s="342">
        <v>37904</v>
      </c>
      <c r="BK478" s="342">
        <v>37986</v>
      </c>
      <c r="BL478" s="320">
        <f>BK478-BJ478</f>
        <v>82</v>
      </c>
      <c r="BM478" s="62"/>
      <c r="BN478" s="10"/>
      <c r="BO478" s="8"/>
      <c r="BP478" s="5">
        <v>155</v>
      </c>
      <c r="BQ478" s="10"/>
      <c r="BR478" s="29">
        <v>2004</v>
      </c>
      <c r="BS478" s="64">
        <v>2003</v>
      </c>
      <c r="BT478" s="14">
        <v>19</v>
      </c>
      <c r="BU478" s="10"/>
      <c r="BV478" s="8">
        <v>1</v>
      </c>
      <c r="BW478" s="59">
        <v>0</v>
      </c>
      <c r="BX478" s="59">
        <v>0</v>
      </c>
      <c r="BY478" s="59"/>
      <c r="BZ478" s="59"/>
      <c r="CA478" s="59"/>
      <c r="CB478" s="59"/>
      <c r="CC478" s="221"/>
      <c r="CD478" s="59">
        <v>2</v>
      </c>
      <c r="CE478" s="317">
        <v>0</v>
      </c>
      <c r="CF478" s="59">
        <v>0</v>
      </c>
      <c r="CG478" s="59">
        <v>0</v>
      </c>
      <c r="CH478" s="59"/>
      <c r="CI478" s="59">
        <v>2</v>
      </c>
      <c r="CJ478" s="59">
        <v>9</v>
      </c>
      <c r="CK478" s="59"/>
      <c r="CL478" s="59"/>
      <c r="CM478" s="59">
        <v>0</v>
      </c>
      <c r="CN478" s="59"/>
      <c r="CO478" s="59">
        <v>0</v>
      </c>
      <c r="CP478" s="317"/>
      <c r="CQ478" s="59"/>
      <c r="CR478" s="59"/>
      <c r="CS478" s="59">
        <v>0</v>
      </c>
      <c r="CT478" s="59">
        <v>2</v>
      </c>
      <c r="CU478" s="59">
        <v>0</v>
      </c>
      <c r="CV478" s="59">
        <v>1</v>
      </c>
      <c r="CW478" s="59"/>
      <c r="CX478" s="59"/>
      <c r="CY478" s="59">
        <v>1</v>
      </c>
      <c r="CZ478" s="59"/>
      <c r="DA478" s="59"/>
      <c r="DB478" s="59">
        <v>10</v>
      </c>
      <c r="DC478" s="59"/>
      <c r="DD478" s="59"/>
      <c r="DE478" s="59"/>
      <c r="DF478" s="59"/>
      <c r="DG478" s="59">
        <v>0</v>
      </c>
      <c r="DH478" s="59">
        <v>1</v>
      </c>
      <c r="DI478" s="59">
        <v>0</v>
      </c>
      <c r="DJ478" s="59">
        <v>0</v>
      </c>
      <c r="DK478" s="59"/>
      <c r="DL478" s="59"/>
      <c r="DM478" s="59">
        <v>0</v>
      </c>
      <c r="DN478" s="59"/>
      <c r="DO478" s="59">
        <v>0</v>
      </c>
      <c r="DP478" s="59"/>
      <c r="DQ478" s="59"/>
      <c r="DR478" s="59"/>
      <c r="DS478" s="59">
        <v>0</v>
      </c>
      <c r="DT478" s="59">
        <v>25</v>
      </c>
      <c r="DU478" s="59"/>
      <c r="DV478" s="38">
        <f t="shared" si="220"/>
        <v>54</v>
      </c>
      <c r="DW478" s="14" t="str">
        <f t="shared" si="221"/>
        <v/>
      </c>
      <c r="DY478" s="369">
        <f t="shared" si="223"/>
        <v>54</v>
      </c>
    </row>
    <row r="479" spans="1:129" customFormat="1">
      <c r="A479" s="210">
        <v>37909</v>
      </c>
      <c r="B479" s="211"/>
      <c r="C479" s="61">
        <v>3</v>
      </c>
      <c r="D479" s="59">
        <v>16</v>
      </c>
      <c r="E479" s="59">
        <v>0</v>
      </c>
      <c r="F479" s="59">
        <v>0</v>
      </c>
      <c r="G479" s="59">
        <v>0</v>
      </c>
      <c r="H479" s="59">
        <v>0</v>
      </c>
      <c r="I479" s="59">
        <v>0</v>
      </c>
      <c r="J479" s="59">
        <v>2</v>
      </c>
      <c r="K479" s="59">
        <v>0</v>
      </c>
      <c r="L479" s="59">
        <v>0</v>
      </c>
      <c r="M479" s="59">
        <v>0</v>
      </c>
      <c r="N479" s="59">
        <v>0</v>
      </c>
      <c r="O479" s="59">
        <v>1</v>
      </c>
      <c r="P479" s="59">
        <v>0</v>
      </c>
      <c r="Q479" s="59">
        <v>0</v>
      </c>
      <c r="R479" s="59">
        <v>0</v>
      </c>
      <c r="S479" s="35">
        <f t="shared" si="222"/>
        <v>22</v>
      </c>
      <c r="T479" s="59"/>
      <c r="U479" s="59">
        <v>10</v>
      </c>
      <c r="V479" s="59"/>
      <c r="W479" s="59">
        <v>0</v>
      </c>
      <c r="X479" s="5">
        <v>0</v>
      </c>
      <c r="Y479" s="10"/>
      <c r="Z479" s="61">
        <v>2702336</v>
      </c>
      <c r="AA479" s="59"/>
      <c r="AB479" s="59"/>
      <c r="AC479" s="61">
        <v>242970</v>
      </c>
      <c r="AD479" s="59"/>
      <c r="AE479" s="35">
        <f t="shared" si="219"/>
        <v>242970</v>
      </c>
      <c r="AF479" s="10"/>
      <c r="AG479" s="61">
        <v>41</v>
      </c>
      <c r="AH479" s="59">
        <v>80</v>
      </c>
      <c r="AI479" s="59">
        <v>130</v>
      </c>
      <c r="AJ479" s="62"/>
      <c r="AK479" s="10"/>
      <c r="AL479" s="8"/>
      <c r="AM479" s="10"/>
      <c r="AN479" s="35"/>
      <c r="AO479" s="279"/>
      <c r="AP479" s="279"/>
      <c r="AQ479" s="281"/>
      <c r="AR479" s="59">
        <v>154</v>
      </c>
      <c r="AS479" s="59">
        <v>45</v>
      </c>
      <c r="AT479" s="59">
        <v>86</v>
      </c>
      <c r="AU479" s="59">
        <v>21</v>
      </c>
      <c r="AV479" s="62">
        <v>162</v>
      </c>
      <c r="AW479" s="10"/>
      <c r="AX479" s="326">
        <v>37908</v>
      </c>
      <c r="AY479" s="5">
        <v>-1</v>
      </c>
      <c r="AZ479" s="10"/>
      <c r="BA479" s="61"/>
      <c r="BB479" s="59"/>
      <c r="BC479" s="59"/>
      <c r="BD479" s="59"/>
      <c r="BE479" s="59"/>
      <c r="BF479" s="59"/>
      <c r="BG479" s="59"/>
      <c r="BH479" s="351"/>
      <c r="BI479" s="59"/>
      <c r="BJ479" s="342"/>
      <c r="BK479" s="342"/>
      <c r="BL479" s="320"/>
      <c r="BM479" s="62"/>
      <c r="BN479" s="10"/>
      <c r="BO479" s="8"/>
      <c r="BP479" s="62"/>
      <c r="BQ479" s="10"/>
      <c r="BR479" s="29">
        <v>2004</v>
      </c>
      <c r="BS479" s="64">
        <v>2003</v>
      </c>
      <c r="BT479" s="14">
        <v>20</v>
      </c>
      <c r="BU479" s="10"/>
      <c r="BV479" s="8">
        <v>1</v>
      </c>
      <c r="BW479" s="59">
        <v>0</v>
      </c>
      <c r="BX479" s="59">
        <v>0</v>
      </c>
      <c r="BY479" s="59"/>
      <c r="BZ479" s="59"/>
      <c r="CA479" s="59"/>
      <c r="CB479" s="59"/>
      <c r="CC479" s="221"/>
      <c r="CD479" s="59">
        <v>1</v>
      </c>
      <c r="CE479" s="317">
        <v>0</v>
      </c>
      <c r="CF479" s="59">
        <v>0</v>
      </c>
      <c r="CG479" s="59">
        <v>0</v>
      </c>
      <c r="CH479" s="59"/>
      <c r="CI479" s="59">
        <v>0</v>
      </c>
      <c r="CJ479" s="59">
        <v>0</v>
      </c>
      <c r="CK479" s="59"/>
      <c r="CL479" s="59"/>
      <c r="CM479" s="59">
        <v>0</v>
      </c>
      <c r="CN479" s="59"/>
      <c r="CO479" s="59">
        <v>5</v>
      </c>
      <c r="CP479" s="317"/>
      <c r="CQ479" s="59"/>
      <c r="CR479" s="59"/>
      <c r="CS479" s="59">
        <v>0</v>
      </c>
      <c r="CT479" s="59">
        <v>1</v>
      </c>
      <c r="CU479" s="59">
        <v>0</v>
      </c>
      <c r="CV479" s="59">
        <v>2</v>
      </c>
      <c r="CW479" s="59"/>
      <c r="CX479" s="59"/>
      <c r="CY479" s="59">
        <v>1</v>
      </c>
      <c r="CZ479" s="59"/>
      <c r="DA479" s="59"/>
      <c r="DB479" s="59">
        <v>1</v>
      </c>
      <c r="DC479" s="59"/>
      <c r="DD479" s="59"/>
      <c r="DE479" s="59"/>
      <c r="DF479" s="59"/>
      <c r="DG479" s="59">
        <v>0</v>
      </c>
      <c r="DH479" s="59">
        <v>0</v>
      </c>
      <c r="DI479" s="59">
        <v>0</v>
      </c>
      <c r="DJ479" s="59">
        <v>1</v>
      </c>
      <c r="DK479" s="59"/>
      <c r="DL479" s="59"/>
      <c r="DM479" s="59">
        <v>2</v>
      </c>
      <c r="DN479" s="59"/>
      <c r="DO479" s="59">
        <v>0</v>
      </c>
      <c r="DP479" s="59"/>
      <c r="DQ479" s="59"/>
      <c r="DR479" s="59"/>
      <c r="DS479" s="59">
        <v>0</v>
      </c>
      <c r="DT479" s="59">
        <v>7</v>
      </c>
      <c r="DU479" s="59"/>
      <c r="DV479" s="38">
        <f t="shared" si="220"/>
        <v>22</v>
      </c>
      <c r="DW479" s="14" t="str">
        <f t="shared" si="221"/>
        <v/>
      </c>
      <c r="DY479" s="369">
        <f t="shared" si="223"/>
        <v>22</v>
      </c>
    </row>
    <row r="480" spans="1:129" customFormat="1">
      <c r="A480" s="210">
        <v>37926</v>
      </c>
      <c r="B480" s="211"/>
      <c r="C480" s="61">
        <v>0</v>
      </c>
      <c r="D480" s="59">
        <v>19</v>
      </c>
      <c r="E480" s="59">
        <v>0</v>
      </c>
      <c r="F480" s="59">
        <v>0</v>
      </c>
      <c r="G480" s="59">
        <v>0</v>
      </c>
      <c r="H480" s="59">
        <v>1</v>
      </c>
      <c r="I480" s="59">
        <v>0</v>
      </c>
      <c r="J480" s="59">
        <v>7</v>
      </c>
      <c r="K480" s="59">
        <v>0</v>
      </c>
      <c r="L480" s="59">
        <v>0</v>
      </c>
      <c r="M480" s="59">
        <v>0</v>
      </c>
      <c r="N480" s="59">
        <v>0</v>
      </c>
      <c r="O480" s="59">
        <v>3</v>
      </c>
      <c r="P480" s="59">
        <v>0</v>
      </c>
      <c r="Q480" s="59">
        <v>0</v>
      </c>
      <c r="R480" s="59">
        <v>0</v>
      </c>
      <c r="S480" s="35">
        <f t="shared" si="222"/>
        <v>30</v>
      </c>
      <c r="T480" s="59"/>
      <c r="U480" s="59">
        <v>21</v>
      </c>
      <c r="V480" s="59"/>
      <c r="W480" s="59">
        <v>0</v>
      </c>
      <c r="X480" s="5">
        <v>1</v>
      </c>
      <c r="Y480" s="10"/>
      <c r="Z480" s="61">
        <v>3304960</v>
      </c>
      <c r="AA480" s="59"/>
      <c r="AB480" s="59"/>
      <c r="AC480" s="61">
        <v>636300</v>
      </c>
      <c r="AD480" s="59"/>
      <c r="AE480" s="35">
        <f t="shared" si="219"/>
        <v>636300</v>
      </c>
      <c r="AF480" s="10"/>
      <c r="AG480" s="61">
        <v>88</v>
      </c>
      <c r="AH480" s="59">
        <v>85</v>
      </c>
      <c r="AI480" s="59">
        <v>188</v>
      </c>
      <c r="AJ480" s="62"/>
      <c r="AK480" s="10"/>
      <c r="AL480" s="8"/>
      <c r="AM480" s="10"/>
      <c r="AN480" s="35"/>
      <c r="AO480" s="279"/>
      <c r="AP480" s="279"/>
      <c r="AQ480" s="281"/>
      <c r="AR480" s="59">
        <v>152</v>
      </c>
      <c r="AS480" s="59">
        <v>46</v>
      </c>
      <c r="AT480" s="59">
        <v>88</v>
      </c>
      <c r="AU480" s="59">
        <v>20</v>
      </c>
      <c r="AV480" s="62">
        <v>165</v>
      </c>
      <c r="AW480" s="10"/>
      <c r="AX480" s="326">
        <v>37923</v>
      </c>
      <c r="AY480" s="5">
        <v>-3</v>
      </c>
      <c r="AZ480" s="10"/>
      <c r="BA480" s="61">
        <v>1742</v>
      </c>
      <c r="BB480" s="59">
        <v>29964171</v>
      </c>
      <c r="BC480" s="59"/>
      <c r="BD480" s="59"/>
      <c r="BE480" s="59">
        <v>81</v>
      </c>
      <c r="BF480" s="59">
        <v>1</v>
      </c>
      <c r="BG480" s="59">
        <v>5</v>
      </c>
      <c r="BH480" s="351"/>
      <c r="BI480" s="59">
        <v>1357918</v>
      </c>
      <c r="BJ480" s="342">
        <v>37935</v>
      </c>
      <c r="BK480" s="342">
        <v>38029</v>
      </c>
      <c r="BL480" s="320">
        <f>BK480-BJ480</f>
        <v>94</v>
      </c>
      <c r="BM480" s="62"/>
      <c r="BN480" s="10"/>
      <c r="BO480" s="8"/>
      <c r="BP480" s="62">
        <v>155</v>
      </c>
      <c r="BQ480" s="10"/>
      <c r="BR480" s="29">
        <v>2004</v>
      </c>
      <c r="BS480" s="64">
        <v>2003</v>
      </c>
      <c r="BT480" s="14">
        <v>21</v>
      </c>
      <c r="BU480" s="10"/>
      <c r="BV480" s="8">
        <v>3</v>
      </c>
      <c r="BW480" s="59">
        <v>1</v>
      </c>
      <c r="BX480" s="59">
        <v>0</v>
      </c>
      <c r="BY480" s="59"/>
      <c r="BZ480" s="59"/>
      <c r="CA480" s="59"/>
      <c r="CB480" s="59"/>
      <c r="CC480" s="221"/>
      <c r="CD480" s="59">
        <v>6</v>
      </c>
      <c r="CE480" s="317">
        <v>0</v>
      </c>
      <c r="CF480" s="59">
        <v>1</v>
      </c>
      <c r="CG480" s="59">
        <v>0</v>
      </c>
      <c r="CH480" s="59"/>
      <c r="CI480" s="59">
        <v>2</v>
      </c>
      <c r="CJ480" s="59">
        <v>3</v>
      </c>
      <c r="CK480" s="59"/>
      <c r="CL480" s="59"/>
      <c r="CM480" s="59">
        <v>0</v>
      </c>
      <c r="CN480" s="59"/>
      <c r="CO480" s="59">
        <v>0</v>
      </c>
      <c r="CP480" s="317"/>
      <c r="CQ480" s="59"/>
      <c r="CR480" s="59"/>
      <c r="CS480" s="59">
        <v>0</v>
      </c>
      <c r="CT480" s="59">
        <v>0</v>
      </c>
      <c r="CU480" s="59">
        <v>0</v>
      </c>
      <c r="CV480" s="59">
        <v>0</v>
      </c>
      <c r="CW480" s="59"/>
      <c r="CX480" s="59"/>
      <c r="CY480" s="59">
        <v>1</v>
      </c>
      <c r="CZ480" s="59"/>
      <c r="DA480" s="59"/>
      <c r="DB480" s="59">
        <v>6</v>
      </c>
      <c r="DC480" s="59"/>
      <c r="DD480" s="59"/>
      <c r="DE480" s="59"/>
      <c r="DF480" s="59"/>
      <c r="DG480" s="59">
        <v>1</v>
      </c>
      <c r="DH480" s="59">
        <v>0</v>
      </c>
      <c r="DI480" s="59">
        <v>0</v>
      </c>
      <c r="DJ480" s="59">
        <v>0</v>
      </c>
      <c r="DK480" s="59"/>
      <c r="DL480" s="59"/>
      <c r="DM480" s="59">
        <v>1</v>
      </c>
      <c r="DN480" s="59"/>
      <c r="DO480" s="59">
        <v>0</v>
      </c>
      <c r="DP480" s="59"/>
      <c r="DQ480" s="59"/>
      <c r="DR480" s="59"/>
      <c r="DS480" s="59">
        <v>4</v>
      </c>
      <c r="DT480" s="59">
        <v>1</v>
      </c>
      <c r="DU480" s="59"/>
      <c r="DV480" s="38">
        <f t="shared" si="220"/>
        <v>30</v>
      </c>
      <c r="DW480" s="14" t="str">
        <f t="shared" si="221"/>
        <v/>
      </c>
      <c r="DY480" s="369">
        <f t="shared" si="223"/>
        <v>30</v>
      </c>
    </row>
    <row r="481" spans="1:129" customFormat="1">
      <c r="A481" s="210">
        <v>37940</v>
      </c>
      <c r="B481" s="211"/>
      <c r="C481" s="61">
        <v>2</v>
      </c>
      <c r="D481" s="59">
        <v>17</v>
      </c>
      <c r="E481" s="59">
        <v>0</v>
      </c>
      <c r="F481" s="59">
        <v>0</v>
      </c>
      <c r="G481" s="59">
        <v>0</v>
      </c>
      <c r="H481" s="59">
        <v>0</v>
      </c>
      <c r="I481" s="59">
        <v>0</v>
      </c>
      <c r="J481" s="59">
        <v>38</v>
      </c>
      <c r="K481" s="59">
        <v>0</v>
      </c>
      <c r="L481" s="59">
        <v>0</v>
      </c>
      <c r="M481" s="59">
        <v>0</v>
      </c>
      <c r="N481" s="59">
        <v>0</v>
      </c>
      <c r="O481" s="59">
        <v>4</v>
      </c>
      <c r="P481" s="59">
        <v>0</v>
      </c>
      <c r="Q481" s="59">
        <v>0</v>
      </c>
      <c r="R481" s="59">
        <v>0</v>
      </c>
      <c r="S481" s="35">
        <f t="shared" si="222"/>
        <v>61</v>
      </c>
      <c r="T481" s="59"/>
      <c r="U481" s="59">
        <v>42</v>
      </c>
      <c r="V481" s="59"/>
      <c r="W481" s="59">
        <v>0</v>
      </c>
      <c r="X481" s="5">
        <v>0</v>
      </c>
      <c r="Y481" s="10"/>
      <c r="Z481" s="61">
        <v>3148800</v>
      </c>
      <c r="AA481" s="59"/>
      <c r="AB481" s="59"/>
      <c r="AC481" s="61">
        <v>285790</v>
      </c>
      <c r="AD481" s="59"/>
      <c r="AE481" s="35">
        <f t="shared" si="219"/>
        <v>285790</v>
      </c>
      <c r="AF481" s="10"/>
      <c r="AG481" s="61">
        <v>62</v>
      </c>
      <c r="AH481" s="59">
        <v>86</v>
      </c>
      <c r="AI481" s="59">
        <v>166</v>
      </c>
      <c r="AJ481" s="62"/>
      <c r="AK481" s="10"/>
      <c r="AL481" s="8"/>
      <c r="AM481" s="10"/>
      <c r="AN481" s="35"/>
      <c r="AO481" s="279"/>
      <c r="AP481" s="279"/>
      <c r="AQ481" s="281"/>
      <c r="AR481" s="59">
        <v>151</v>
      </c>
      <c r="AS481" s="59">
        <v>48</v>
      </c>
      <c r="AT481" s="59">
        <v>90</v>
      </c>
      <c r="AU481" s="59">
        <v>21</v>
      </c>
      <c r="AV481" s="62">
        <v>172</v>
      </c>
      <c r="AW481" s="10"/>
      <c r="AX481" s="326">
        <v>37939</v>
      </c>
      <c r="AY481" s="5">
        <v>-1</v>
      </c>
      <c r="AZ481" s="10"/>
      <c r="BA481" s="61"/>
      <c r="BB481" s="59"/>
      <c r="BC481" s="59"/>
      <c r="BD481" s="59"/>
      <c r="BE481" s="59"/>
      <c r="BF481" s="59"/>
      <c r="BG481" s="59"/>
      <c r="BH481" s="351"/>
      <c r="BI481" s="102"/>
      <c r="BJ481" s="342"/>
      <c r="BK481" s="344"/>
      <c r="BL481" s="321"/>
      <c r="BM481" s="62"/>
      <c r="BN481" s="10"/>
      <c r="BO481" s="8"/>
      <c r="BP481" s="62"/>
      <c r="BQ481" s="10"/>
      <c r="BR481" s="29">
        <v>2004</v>
      </c>
      <c r="BS481" s="64">
        <v>2003</v>
      </c>
      <c r="BT481" s="14">
        <v>22</v>
      </c>
      <c r="BU481" s="10"/>
      <c r="BV481" s="8">
        <v>3</v>
      </c>
      <c r="BW481" s="59">
        <v>1</v>
      </c>
      <c r="BX481" s="59">
        <v>0</v>
      </c>
      <c r="BY481" s="59"/>
      <c r="BZ481" s="59"/>
      <c r="CA481" s="59"/>
      <c r="CB481" s="59"/>
      <c r="CC481" s="221"/>
      <c r="CD481" s="59">
        <v>5</v>
      </c>
      <c r="CE481" s="317">
        <v>0</v>
      </c>
      <c r="CF481" s="59">
        <v>0</v>
      </c>
      <c r="CG481" s="59">
        <v>0</v>
      </c>
      <c r="CH481" s="59"/>
      <c r="CI481" s="59">
        <v>1</v>
      </c>
      <c r="CJ481" s="59">
        <v>3</v>
      </c>
      <c r="CK481" s="59"/>
      <c r="CL481" s="59"/>
      <c r="CM481" s="59">
        <v>0</v>
      </c>
      <c r="CN481" s="59"/>
      <c r="CO481" s="59">
        <v>3</v>
      </c>
      <c r="CP481" s="317"/>
      <c r="CQ481" s="59"/>
      <c r="CR481" s="59"/>
      <c r="CS481" s="59">
        <v>0</v>
      </c>
      <c r="CT481" s="59">
        <v>2</v>
      </c>
      <c r="CU481" s="59">
        <v>0</v>
      </c>
      <c r="CV481" s="59">
        <v>0</v>
      </c>
      <c r="CW481" s="59"/>
      <c r="CX481" s="59"/>
      <c r="CY481" s="59">
        <v>0</v>
      </c>
      <c r="CZ481" s="59"/>
      <c r="DA481" s="59"/>
      <c r="DB481" s="59">
        <v>39</v>
      </c>
      <c r="DC481" s="59"/>
      <c r="DD481" s="59"/>
      <c r="DE481" s="59"/>
      <c r="DF481" s="59"/>
      <c r="DG481" s="59">
        <v>0</v>
      </c>
      <c r="DH481" s="59">
        <v>1</v>
      </c>
      <c r="DI481" s="59">
        <v>0</v>
      </c>
      <c r="DJ481" s="59">
        <v>0</v>
      </c>
      <c r="DK481" s="59"/>
      <c r="DL481" s="59"/>
      <c r="DM481" s="59">
        <v>2</v>
      </c>
      <c r="DN481" s="59"/>
      <c r="DO481" s="59">
        <v>1</v>
      </c>
      <c r="DP481" s="59"/>
      <c r="DQ481" s="59"/>
      <c r="DR481" s="59"/>
      <c r="DS481" s="59">
        <v>0</v>
      </c>
      <c r="DT481" s="59">
        <v>0</v>
      </c>
      <c r="DU481" s="59"/>
      <c r="DV481" s="38">
        <f t="shared" si="220"/>
        <v>61</v>
      </c>
      <c r="DW481" s="14" t="str">
        <f t="shared" si="221"/>
        <v/>
      </c>
      <c r="DY481" s="369">
        <f t="shared" si="223"/>
        <v>61</v>
      </c>
    </row>
    <row r="482" spans="1:129" customFormat="1">
      <c r="A482" s="210">
        <v>37956</v>
      </c>
      <c r="B482" s="211"/>
      <c r="C482" s="61">
        <v>2</v>
      </c>
      <c r="D482" s="59">
        <v>22</v>
      </c>
      <c r="E482" s="59">
        <v>1</v>
      </c>
      <c r="F482" s="59">
        <v>0</v>
      </c>
      <c r="G482" s="59">
        <v>5</v>
      </c>
      <c r="H482" s="59">
        <v>1</v>
      </c>
      <c r="I482" s="59">
        <v>0</v>
      </c>
      <c r="J482" s="59">
        <v>4</v>
      </c>
      <c r="K482" s="59">
        <v>1</v>
      </c>
      <c r="L482" s="59">
        <v>0</v>
      </c>
      <c r="M482" s="59">
        <v>0</v>
      </c>
      <c r="N482" s="59">
        <v>0</v>
      </c>
      <c r="O482" s="59">
        <v>1</v>
      </c>
      <c r="P482" s="59">
        <v>0</v>
      </c>
      <c r="Q482" s="59">
        <v>0</v>
      </c>
      <c r="R482" s="59">
        <v>0</v>
      </c>
      <c r="S482" s="35">
        <f t="shared" si="222"/>
        <v>37</v>
      </c>
      <c r="T482" s="59"/>
      <c r="U482" s="59">
        <v>17</v>
      </c>
      <c r="V482" s="59"/>
      <c r="W482" s="59">
        <v>0</v>
      </c>
      <c r="X482" s="5">
        <v>1</v>
      </c>
      <c r="Y482" s="10"/>
      <c r="Z482" s="61">
        <v>3558400</v>
      </c>
      <c r="AA482" s="59"/>
      <c r="AB482" s="59"/>
      <c r="AC482" s="61">
        <v>220430</v>
      </c>
      <c r="AD482" s="59"/>
      <c r="AE482" s="35">
        <f t="shared" si="219"/>
        <v>220430</v>
      </c>
      <c r="AF482" s="10"/>
      <c r="AG482" s="61">
        <v>103</v>
      </c>
      <c r="AH482" s="59">
        <v>89</v>
      </c>
      <c r="AI482" s="59">
        <v>206</v>
      </c>
      <c r="AJ482" s="62"/>
      <c r="AK482" s="10"/>
      <c r="AL482" s="8"/>
      <c r="AM482" s="10"/>
      <c r="AN482" s="35"/>
      <c r="AO482" s="279"/>
      <c r="AP482" s="279"/>
      <c r="AQ482" s="281"/>
      <c r="AR482" s="59">
        <v>153</v>
      </c>
      <c r="AS482" s="59">
        <v>48</v>
      </c>
      <c r="AT482" s="59">
        <v>85</v>
      </c>
      <c r="AU482" s="59">
        <v>20</v>
      </c>
      <c r="AV482" s="62">
        <v>170</v>
      </c>
      <c r="AW482" s="10"/>
      <c r="AX482" s="326">
        <v>37955</v>
      </c>
      <c r="AY482" s="5">
        <v>-1</v>
      </c>
      <c r="AZ482" s="10"/>
      <c r="BA482" s="61">
        <v>1741</v>
      </c>
      <c r="BB482" s="59">
        <v>29892186</v>
      </c>
      <c r="BC482" s="59"/>
      <c r="BD482" s="59"/>
      <c r="BE482" s="59">
        <v>31</v>
      </c>
      <c r="BF482" s="59">
        <v>3</v>
      </c>
      <c r="BG482" s="59">
        <v>4</v>
      </c>
      <c r="BH482" s="351"/>
      <c r="BI482" s="59">
        <v>559980</v>
      </c>
      <c r="BJ482" s="342">
        <v>37965</v>
      </c>
      <c r="BK482" s="342">
        <v>38043</v>
      </c>
      <c r="BL482" s="320">
        <f>BK482-BJ482</f>
        <v>78</v>
      </c>
      <c r="BM482" s="62"/>
      <c r="BN482" s="10"/>
      <c r="BO482" s="8"/>
      <c r="BP482" s="62">
        <v>155</v>
      </c>
      <c r="BQ482" s="10"/>
      <c r="BR482" s="29">
        <v>2004</v>
      </c>
      <c r="BS482" s="64">
        <v>2003</v>
      </c>
      <c r="BT482" s="14">
        <v>23</v>
      </c>
      <c r="BU482" s="10"/>
      <c r="BV482" s="8">
        <v>1</v>
      </c>
      <c r="BW482" s="59">
        <v>1</v>
      </c>
      <c r="BX482" s="59">
        <v>0</v>
      </c>
      <c r="BY482" s="59"/>
      <c r="BZ482" s="59"/>
      <c r="CA482" s="59"/>
      <c r="CB482" s="59"/>
      <c r="CC482" s="221"/>
      <c r="CD482" s="59">
        <v>3</v>
      </c>
      <c r="CE482" s="317">
        <v>0</v>
      </c>
      <c r="CF482" s="59">
        <v>0</v>
      </c>
      <c r="CG482" s="59">
        <v>1</v>
      </c>
      <c r="CH482" s="59"/>
      <c r="CI482" s="59">
        <v>0</v>
      </c>
      <c r="CJ482" s="59">
        <v>6</v>
      </c>
      <c r="CK482" s="59"/>
      <c r="CL482" s="59"/>
      <c r="CM482" s="59">
        <v>0</v>
      </c>
      <c r="CN482" s="59"/>
      <c r="CO482" s="59">
        <v>6</v>
      </c>
      <c r="CP482" s="317"/>
      <c r="CQ482" s="59"/>
      <c r="CR482" s="59"/>
      <c r="CS482" s="59">
        <v>0</v>
      </c>
      <c r="CT482" s="59">
        <v>1</v>
      </c>
      <c r="CU482" s="59">
        <v>0</v>
      </c>
      <c r="CV482" s="59">
        <v>5</v>
      </c>
      <c r="CW482" s="59"/>
      <c r="CX482" s="59"/>
      <c r="CY482" s="59">
        <v>2</v>
      </c>
      <c r="CZ482" s="59"/>
      <c r="DA482" s="59"/>
      <c r="DB482" s="59">
        <v>4</v>
      </c>
      <c r="DC482" s="59"/>
      <c r="DD482" s="59"/>
      <c r="DE482" s="59"/>
      <c r="DF482" s="59"/>
      <c r="DG482" s="59">
        <v>4</v>
      </c>
      <c r="DH482" s="59">
        <v>2</v>
      </c>
      <c r="DI482" s="59">
        <v>0</v>
      </c>
      <c r="DJ482" s="59">
        <v>0</v>
      </c>
      <c r="DK482" s="59"/>
      <c r="DL482" s="59"/>
      <c r="DM482" s="59">
        <v>0</v>
      </c>
      <c r="DN482" s="59"/>
      <c r="DO482" s="59">
        <v>1</v>
      </c>
      <c r="DP482" s="59"/>
      <c r="DQ482" s="59"/>
      <c r="DR482" s="59"/>
      <c r="DS482" s="59">
        <v>0</v>
      </c>
      <c r="DT482" s="59">
        <v>0</v>
      </c>
      <c r="DU482" s="59"/>
      <c r="DV482" s="38">
        <f t="shared" si="220"/>
        <v>37</v>
      </c>
      <c r="DW482" s="14" t="str">
        <f t="shared" si="221"/>
        <v/>
      </c>
      <c r="DY482" s="369">
        <f t="shared" si="223"/>
        <v>37</v>
      </c>
    </row>
    <row r="483" spans="1:129" customFormat="1">
      <c r="A483" s="210">
        <v>37970</v>
      </c>
      <c r="B483" s="211"/>
      <c r="C483" s="61">
        <v>7</v>
      </c>
      <c r="D483" s="59">
        <v>17</v>
      </c>
      <c r="E483" s="59">
        <v>0</v>
      </c>
      <c r="F483" s="59">
        <v>0</v>
      </c>
      <c r="G483" s="59">
        <v>1</v>
      </c>
      <c r="H483" s="59">
        <v>0</v>
      </c>
      <c r="I483" s="59">
        <v>0</v>
      </c>
      <c r="J483" s="59">
        <v>4</v>
      </c>
      <c r="K483" s="59">
        <v>0</v>
      </c>
      <c r="L483" s="59">
        <v>0</v>
      </c>
      <c r="M483" s="59">
        <v>0</v>
      </c>
      <c r="N483" s="59">
        <v>0</v>
      </c>
      <c r="O483" s="59">
        <v>1</v>
      </c>
      <c r="P483" s="59">
        <v>2</v>
      </c>
      <c r="Q483" s="59">
        <v>0</v>
      </c>
      <c r="R483" s="59">
        <v>0</v>
      </c>
      <c r="S483" s="35">
        <f t="shared" si="222"/>
        <v>32</v>
      </c>
      <c r="T483" s="59"/>
      <c r="U483" s="59">
        <v>14</v>
      </c>
      <c r="V483" s="59"/>
      <c r="W483" s="59">
        <v>0</v>
      </c>
      <c r="X483" s="5">
        <v>0</v>
      </c>
      <c r="Y483" s="10"/>
      <c r="Z483" s="61">
        <v>3348480</v>
      </c>
      <c r="AA483" s="59"/>
      <c r="AB483" s="59"/>
      <c r="AC483" s="61">
        <v>418000</v>
      </c>
      <c r="AD483" s="59"/>
      <c r="AE483" s="35">
        <f t="shared" si="219"/>
        <v>418000</v>
      </c>
      <c r="AF483" s="10"/>
      <c r="AG483" s="61">
        <v>71</v>
      </c>
      <c r="AH483" s="59">
        <v>92</v>
      </c>
      <c r="AI483" s="59">
        <v>174</v>
      </c>
      <c r="AJ483" s="62"/>
      <c r="AK483" s="10"/>
      <c r="AL483" s="8"/>
      <c r="AM483" s="10"/>
      <c r="AN483" s="35"/>
      <c r="AO483" s="279"/>
      <c r="AP483" s="279"/>
      <c r="AQ483" s="281"/>
      <c r="AR483" s="59">
        <v>153</v>
      </c>
      <c r="AS483" s="59"/>
      <c r="AT483" s="59"/>
      <c r="AU483" s="59"/>
      <c r="AV483" s="62"/>
      <c r="AW483" s="10"/>
      <c r="AX483" s="326">
        <v>37967</v>
      </c>
      <c r="AY483" s="5">
        <v>-3</v>
      </c>
      <c r="AZ483" s="10"/>
      <c r="BA483" s="61"/>
      <c r="BB483" s="59"/>
      <c r="BC483" s="59"/>
      <c r="BD483" s="59"/>
      <c r="BE483" s="59"/>
      <c r="BF483" s="59"/>
      <c r="BG483" s="59"/>
      <c r="BH483" s="351"/>
      <c r="BI483" s="59"/>
      <c r="BJ483" s="342"/>
      <c r="BK483" s="342"/>
      <c r="BL483" s="320"/>
      <c r="BM483" s="62"/>
      <c r="BN483" s="10"/>
      <c r="BO483" s="8"/>
      <c r="BP483" s="62"/>
      <c r="BQ483" s="10"/>
      <c r="BR483" s="29">
        <v>2004</v>
      </c>
      <c r="BS483" s="64">
        <v>2003</v>
      </c>
      <c r="BT483" s="14">
        <v>24</v>
      </c>
      <c r="BU483" s="10"/>
      <c r="BV483" s="8">
        <v>0</v>
      </c>
      <c r="BW483" s="59">
        <v>0</v>
      </c>
      <c r="BX483" s="59">
        <v>0</v>
      </c>
      <c r="BY483" s="59"/>
      <c r="BZ483" s="59"/>
      <c r="CA483" s="59"/>
      <c r="CB483" s="59"/>
      <c r="CC483" s="221"/>
      <c r="CD483" s="59">
        <v>2</v>
      </c>
      <c r="CE483" s="317">
        <v>0</v>
      </c>
      <c r="CF483" s="59">
        <v>0</v>
      </c>
      <c r="CG483" s="59">
        <v>0</v>
      </c>
      <c r="CH483" s="59"/>
      <c r="CI483" s="59">
        <v>4</v>
      </c>
      <c r="CJ483" s="59">
        <v>0</v>
      </c>
      <c r="CK483" s="59"/>
      <c r="CL483" s="59"/>
      <c r="CM483" s="59">
        <v>0</v>
      </c>
      <c r="CN483" s="59"/>
      <c r="CO483" s="59">
        <v>7</v>
      </c>
      <c r="CP483" s="317"/>
      <c r="CQ483" s="59"/>
      <c r="CR483" s="59"/>
      <c r="CS483" s="59">
        <v>0</v>
      </c>
      <c r="CT483" s="59">
        <v>2</v>
      </c>
      <c r="CU483" s="59">
        <v>0</v>
      </c>
      <c r="CV483" s="59">
        <v>7</v>
      </c>
      <c r="CW483" s="59"/>
      <c r="CX483" s="59"/>
      <c r="CY483" s="59">
        <v>0</v>
      </c>
      <c r="CZ483" s="59"/>
      <c r="DA483" s="59"/>
      <c r="DB483" s="59">
        <v>5</v>
      </c>
      <c r="DC483" s="59"/>
      <c r="DD483" s="59"/>
      <c r="DE483" s="59"/>
      <c r="DF483" s="59"/>
      <c r="DG483" s="59">
        <v>1</v>
      </c>
      <c r="DH483" s="59">
        <v>2</v>
      </c>
      <c r="DI483" s="59">
        <v>0</v>
      </c>
      <c r="DJ483" s="59">
        <v>0</v>
      </c>
      <c r="DK483" s="59"/>
      <c r="DL483" s="59"/>
      <c r="DM483" s="59">
        <v>0</v>
      </c>
      <c r="DN483" s="59"/>
      <c r="DO483" s="59">
        <v>2</v>
      </c>
      <c r="DP483" s="59"/>
      <c r="DQ483" s="59"/>
      <c r="DR483" s="59"/>
      <c r="DS483" s="59">
        <v>0</v>
      </c>
      <c r="DT483" s="59">
        <v>0</v>
      </c>
      <c r="DU483" s="59"/>
      <c r="DV483" s="38">
        <f t="shared" si="220"/>
        <v>32</v>
      </c>
      <c r="DW483" s="14" t="str">
        <f t="shared" si="221"/>
        <v/>
      </c>
      <c r="DY483" s="369">
        <f t="shared" si="223"/>
        <v>32</v>
      </c>
    </row>
    <row r="484" spans="1:129" customFormat="1">
      <c r="A484" s="210">
        <v>37987</v>
      </c>
      <c r="B484" s="211"/>
      <c r="C484" s="8">
        <v>5</v>
      </c>
      <c r="D484" s="59">
        <v>8</v>
      </c>
      <c r="E484" s="59">
        <v>0</v>
      </c>
      <c r="F484" s="59">
        <v>1</v>
      </c>
      <c r="G484" s="59">
        <v>2</v>
      </c>
      <c r="H484" s="59">
        <v>1</v>
      </c>
      <c r="I484" s="59">
        <v>0</v>
      </c>
      <c r="J484" s="59">
        <v>5</v>
      </c>
      <c r="K484" s="59">
        <v>0</v>
      </c>
      <c r="L484" s="59">
        <v>0</v>
      </c>
      <c r="M484" s="59">
        <v>0</v>
      </c>
      <c r="N484" s="59">
        <v>0</v>
      </c>
      <c r="O484" s="59">
        <v>4</v>
      </c>
      <c r="P484" s="59">
        <v>0</v>
      </c>
      <c r="Q484" s="59">
        <v>0</v>
      </c>
      <c r="R484" s="59">
        <v>0</v>
      </c>
      <c r="S484" s="35">
        <f t="shared" si="222"/>
        <v>26</v>
      </c>
      <c r="T484" s="59"/>
      <c r="U484" s="59">
        <v>7</v>
      </c>
      <c r="V484" s="59"/>
      <c r="W484" s="59">
        <v>0</v>
      </c>
      <c r="X484" s="62">
        <v>1</v>
      </c>
      <c r="Y484" s="10"/>
      <c r="Z484" s="61">
        <v>478208</v>
      </c>
      <c r="AA484" s="59"/>
      <c r="AB484" s="59"/>
      <c r="AC484" s="61">
        <v>723400</v>
      </c>
      <c r="AD484" s="59"/>
      <c r="AE484" s="35">
        <f t="shared" si="219"/>
        <v>723400</v>
      </c>
      <c r="AF484" s="10"/>
      <c r="AG484" s="61">
        <v>41</v>
      </c>
      <c r="AH484" s="59">
        <v>2</v>
      </c>
      <c r="AI484" s="59">
        <v>52</v>
      </c>
      <c r="AJ484" s="62"/>
      <c r="AK484" s="10"/>
      <c r="AL484" s="61">
        <v>0</v>
      </c>
      <c r="AM484" s="59">
        <v>65</v>
      </c>
      <c r="AN484" s="35">
        <f>SUM(AL484:AM484)</f>
        <v>65</v>
      </c>
      <c r="AO484" s="279"/>
      <c r="AP484" s="279"/>
      <c r="AQ484" s="281"/>
      <c r="AR484" s="59">
        <v>153</v>
      </c>
      <c r="AS484" s="59">
        <v>48</v>
      </c>
      <c r="AT484" s="59">
        <v>86</v>
      </c>
      <c r="AU484" s="59">
        <v>20</v>
      </c>
      <c r="AV484" s="62">
        <v>172</v>
      </c>
      <c r="AW484" s="10"/>
      <c r="AX484" s="326">
        <v>37987</v>
      </c>
      <c r="AY484" s="5">
        <v>0</v>
      </c>
      <c r="AZ484" s="10"/>
      <c r="BA484" s="61">
        <v>1741</v>
      </c>
      <c r="BB484" s="59">
        <v>29973979</v>
      </c>
      <c r="BC484" s="59"/>
      <c r="BD484" s="59"/>
      <c r="BE484" s="59">
        <v>52</v>
      </c>
      <c r="BF484" s="59">
        <v>2</v>
      </c>
      <c r="BG484" s="59">
        <v>2</v>
      </c>
      <c r="BH484" s="351"/>
      <c r="BI484" s="59">
        <v>2083836</v>
      </c>
      <c r="BJ484" s="342">
        <v>37996</v>
      </c>
      <c r="BK484" s="342">
        <v>38071</v>
      </c>
      <c r="BL484" s="320">
        <f>BK484-BJ484</f>
        <v>75</v>
      </c>
      <c r="BM484" s="62"/>
      <c r="BN484" s="10"/>
      <c r="BO484" s="8"/>
      <c r="BP484" s="62">
        <v>155</v>
      </c>
      <c r="BQ484" s="10"/>
      <c r="BR484" s="29">
        <v>2004</v>
      </c>
      <c r="BS484" s="64">
        <v>2004</v>
      </c>
      <c r="BT484" s="14">
        <v>1</v>
      </c>
      <c r="BU484" s="10"/>
      <c r="BV484" s="61">
        <v>1</v>
      </c>
      <c r="BW484" s="59">
        <v>0</v>
      </c>
      <c r="BX484" s="59">
        <v>0</v>
      </c>
      <c r="BY484" s="59"/>
      <c r="BZ484" s="59"/>
      <c r="CA484" s="59"/>
      <c r="CB484" s="59"/>
      <c r="CC484" s="221"/>
      <c r="CD484" s="59">
        <v>9</v>
      </c>
      <c r="CE484" s="317">
        <v>0</v>
      </c>
      <c r="CF484" s="59">
        <v>0</v>
      </c>
      <c r="CG484" s="59">
        <v>2</v>
      </c>
      <c r="CH484" s="59"/>
      <c r="CI484" s="59">
        <v>5</v>
      </c>
      <c r="CJ484" s="59">
        <v>5</v>
      </c>
      <c r="CK484" s="59"/>
      <c r="CL484" s="59"/>
      <c r="CM484" s="59">
        <v>0</v>
      </c>
      <c r="CN484" s="59"/>
      <c r="CO484" s="59">
        <v>1</v>
      </c>
      <c r="CP484" s="317"/>
      <c r="CQ484" s="59"/>
      <c r="CR484" s="59"/>
      <c r="CS484" s="59">
        <v>0</v>
      </c>
      <c r="CT484" s="59">
        <v>0</v>
      </c>
      <c r="CU484" s="59">
        <v>0</v>
      </c>
      <c r="CV484" s="59">
        <v>0</v>
      </c>
      <c r="CW484" s="59"/>
      <c r="CX484" s="59"/>
      <c r="CY484" s="59">
        <v>0</v>
      </c>
      <c r="CZ484" s="59"/>
      <c r="DA484" s="59"/>
      <c r="DB484" s="59">
        <v>1</v>
      </c>
      <c r="DC484" s="59"/>
      <c r="DD484" s="59"/>
      <c r="DE484" s="59"/>
      <c r="DF484" s="59"/>
      <c r="DG484" s="59">
        <v>0</v>
      </c>
      <c r="DH484" s="59">
        <v>1</v>
      </c>
      <c r="DI484" s="59">
        <v>0</v>
      </c>
      <c r="DJ484" s="59">
        <v>0</v>
      </c>
      <c r="DK484" s="59"/>
      <c r="DL484" s="59"/>
      <c r="DM484" s="59">
        <v>0</v>
      </c>
      <c r="DN484" s="59"/>
      <c r="DO484" s="59">
        <v>0</v>
      </c>
      <c r="DP484" s="59"/>
      <c r="DQ484" s="59"/>
      <c r="DR484" s="59"/>
      <c r="DS484" s="59">
        <v>0</v>
      </c>
      <c r="DT484" s="59">
        <v>1</v>
      </c>
      <c r="DU484" s="59">
        <v>0</v>
      </c>
      <c r="DV484" s="38">
        <f t="shared" si="220"/>
        <v>26</v>
      </c>
      <c r="DW484" s="14" t="str">
        <f t="shared" si="221"/>
        <v/>
      </c>
      <c r="DY484" s="369">
        <f t="shared" si="223"/>
        <v>26</v>
      </c>
    </row>
    <row r="485" spans="1:129" customFormat="1">
      <c r="A485" s="210">
        <v>38001</v>
      </c>
      <c r="B485" s="211"/>
      <c r="C485" s="8">
        <v>0</v>
      </c>
      <c r="D485" s="59">
        <v>2</v>
      </c>
      <c r="E485" s="59">
        <v>0</v>
      </c>
      <c r="F485" s="59">
        <v>0</v>
      </c>
      <c r="G485" s="59">
        <v>1</v>
      </c>
      <c r="H485" s="59">
        <v>1</v>
      </c>
      <c r="I485" s="59">
        <v>0</v>
      </c>
      <c r="J485" s="59">
        <v>7</v>
      </c>
      <c r="K485" s="59">
        <v>1</v>
      </c>
      <c r="L485" s="59">
        <v>0</v>
      </c>
      <c r="M485" s="59">
        <v>0</v>
      </c>
      <c r="N485" s="59">
        <v>0</v>
      </c>
      <c r="O485" s="59">
        <v>2</v>
      </c>
      <c r="P485" s="59">
        <v>0</v>
      </c>
      <c r="Q485" s="59">
        <v>0</v>
      </c>
      <c r="R485" s="59">
        <v>0</v>
      </c>
      <c r="S485" s="35">
        <f t="shared" si="222"/>
        <v>14</v>
      </c>
      <c r="T485" s="59"/>
      <c r="U485" s="59">
        <v>2</v>
      </c>
      <c r="V485" s="59"/>
      <c r="W485" s="59">
        <v>0</v>
      </c>
      <c r="X485" s="62">
        <v>1</v>
      </c>
      <c r="Y485" s="10"/>
      <c r="Z485" s="61">
        <v>1563648</v>
      </c>
      <c r="AA485" s="59"/>
      <c r="AB485" s="59"/>
      <c r="AC485" s="61">
        <v>184200</v>
      </c>
      <c r="AD485" s="59"/>
      <c r="AE485" s="35">
        <f t="shared" si="219"/>
        <v>184200</v>
      </c>
      <c r="AF485" s="10"/>
      <c r="AG485" s="61">
        <v>17</v>
      </c>
      <c r="AH485" s="59">
        <v>96</v>
      </c>
      <c r="AI485" s="59">
        <v>122</v>
      </c>
      <c r="AJ485" s="62"/>
      <c r="AK485" s="10"/>
      <c r="AL485" s="61"/>
      <c r="AM485" s="59"/>
      <c r="AN485" s="35"/>
      <c r="AO485" s="279"/>
      <c r="AP485" s="279"/>
      <c r="AQ485" s="281"/>
      <c r="AR485" s="59">
        <v>155</v>
      </c>
      <c r="AS485" s="59">
        <v>47</v>
      </c>
      <c r="AT485" s="59">
        <v>81</v>
      </c>
      <c r="AU485" s="59">
        <v>20</v>
      </c>
      <c r="AV485" s="62">
        <v>166</v>
      </c>
      <c r="AW485" s="10"/>
      <c r="AX485" s="326">
        <v>38000</v>
      </c>
      <c r="AY485" s="5">
        <v>-1</v>
      </c>
      <c r="AZ485" s="10"/>
      <c r="BA485" s="61"/>
      <c r="BB485" s="59"/>
      <c r="BC485" s="59"/>
      <c r="BD485" s="59"/>
      <c r="BE485" s="59"/>
      <c r="BF485" s="59"/>
      <c r="BG485" s="59"/>
      <c r="BH485" s="351"/>
      <c r="BI485" s="59"/>
      <c r="BJ485" s="342"/>
      <c r="BK485" s="342"/>
      <c r="BL485" s="320"/>
      <c r="BM485" s="62"/>
      <c r="BN485" s="10"/>
      <c r="BO485" s="8"/>
      <c r="BP485" s="62"/>
      <c r="BQ485" s="10"/>
      <c r="BR485" s="29">
        <v>2004</v>
      </c>
      <c r="BS485" s="64">
        <v>2004</v>
      </c>
      <c r="BT485" s="14">
        <v>2</v>
      </c>
      <c r="BU485" s="10"/>
      <c r="BV485" s="61">
        <v>0</v>
      </c>
      <c r="BW485" s="59">
        <v>0</v>
      </c>
      <c r="BX485" s="59">
        <v>0</v>
      </c>
      <c r="BY485" s="59"/>
      <c r="BZ485" s="59"/>
      <c r="CA485" s="59"/>
      <c r="CB485" s="59"/>
      <c r="CC485" s="221"/>
      <c r="CD485" s="59">
        <v>4</v>
      </c>
      <c r="CE485" s="317">
        <v>0</v>
      </c>
      <c r="CF485" s="59">
        <v>0</v>
      </c>
      <c r="CG485" s="59">
        <v>0</v>
      </c>
      <c r="CH485" s="59"/>
      <c r="CI485" s="59">
        <v>0</v>
      </c>
      <c r="CJ485" s="59">
        <v>0</v>
      </c>
      <c r="CK485" s="59"/>
      <c r="CL485" s="59"/>
      <c r="CM485" s="59">
        <v>0</v>
      </c>
      <c r="CN485" s="59"/>
      <c r="CO485" s="59">
        <v>0</v>
      </c>
      <c r="CP485" s="317"/>
      <c r="CQ485" s="59"/>
      <c r="CR485" s="59"/>
      <c r="CS485" s="59">
        <v>0</v>
      </c>
      <c r="CT485" s="59">
        <v>0</v>
      </c>
      <c r="CU485" s="59">
        <v>0</v>
      </c>
      <c r="CV485" s="59">
        <v>0</v>
      </c>
      <c r="CW485" s="59"/>
      <c r="CX485" s="59"/>
      <c r="CY485" s="59">
        <v>0</v>
      </c>
      <c r="CZ485" s="59"/>
      <c r="DA485" s="59"/>
      <c r="DB485" s="59">
        <v>7</v>
      </c>
      <c r="DC485" s="59"/>
      <c r="DD485" s="59"/>
      <c r="DE485" s="59"/>
      <c r="DF485" s="59"/>
      <c r="DG485" s="59">
        <v>1</v>
      </c>
      <c r="DH485" s="59">
        <v>0</v>
      </c>
      <c r="DI485" s="59">
        <v>0</v>
      </c>
      <c r="DJ485" s="59">
        <v>1</v>
      </c>
      <c r="DK485" s="59"/>
      <c r="DL485" s="59"/>
      <c r="DM485" s="59">
        <v>1</v>
      </c>
      <c r="DN485" s="59"/>
      <c r="DO485" s="59">
        <v>0</v>
      </c>
      <c r="DP485" s="59"/>
      <c r="DQ485" s="59"/>
      <c r="DR485" s="59"/>
      <c r="DS485" s="59">
        <v>0</v>
      </c>
      <c r="DT485" s="59">
        <v>0</v>
      </c>
      <c r="DU485" s="59">
        <v>0</v>
      </c>
      <c r="DV485" s="38">
        <f t="shared" si="220"/>
        <v>14</v>
      </c>
      <c r="DW485" s="14" t="str">
        <f t="shared" si="221"/>
        <v/>
      </c>
      <c r="DY485" s="369">
        <f t="shared" si="223"/>
        <v>14</v>
      </c>
    </row>
    <row r="486" spans="1:129" customFormat="1">
      <c r="A486" s="210">
        <v>38018</v>
      </c>
      <c r="B486" s="211"/>
      <c r="C486" s="61">
        <v>0</v>
      </c>
      <c r="D486" s="59">
        <v>11</v>
      </c>
      <c r="E486" s="59">
        <v>0</v>
      </c>
      <c r="F486" s="59">
        <v>0</v>
      </c>
      <c r="G486" s="59">
        <v>0</v>
      </c>
      <c r="H486" s="59">
        <v>1</v>
      </c>
      <c r="I486" s="59">
        <v>0</v>
      </c>
      <c r="J486" s="59">
        <v>18</v>
      </c>
      <c r="K486" s="59">
        <v>1</v>
      </c>
      <c r="L486" s="59">
        <v>0</v>
      </c>
      <c r="M486" s="59">
        <v>0</v>
      </c>
      <c r="N486" s="59">
        <v>0</v>
      </c>
      <c r="O486" s="59">
        <v>5</v>
      </c>
      <c r="P486" s="59">
        <v>0</v>
      </c>
      <c r="Q486" s="59">
        <v>0</v>
      </c>
      <c r="R486" s="59">
        <v>0</v>
      </c>
      <c r="S486" s="35">
        <f t="shared" si="222"/>
        <v>36</v>
      </c>
      <c r="T486" s="59"/>
      <c r="U486" s="59">
        <v>6</v>
      </c>
      <c r="V486" s="59"/>
      <c r="W486" s="59">
        <v>0</v>
      </c>
      <c r="X486" s="62">
        <v>0</v>
      </c>
      <c r="Y486" s="10"/>
      <c r="Z486" s="61">
        <v>840192</v>
      </c>
      <c r="AA486" s="59"/>
      <c r="AB486" s="59"/>
      <c r="AC486" s="61">
        <v>299830</v>
      </c>
      <c r="AD486" s="59"/>
      <c r="AE486" s="35">
        <f t="shared" si="219"/>
        <v>299830</v>
      </c>
      <c r="AF486" s="10"/>
      <c r="AG486" s="61">
        <v>48</v>
      </c>
      <c r="AH486" s="59">
        <v>13</v>
      </c>
      <c r="AI486" s="59">
        <v>74</v>
      </c>
      <c r="AJ486" s="62"/>
      <c r="AK486" s="10"/>
      <c r="AL486" s="61"/>
      <c r="AM486" s="59"/>
      <c r="AN486" s="35"/>
      <c r="AO486" s="279"/>
      <c r="AP486" s="279"/>
      <c r="AQ486" s="281"/>
      <c r="AR486" s="59">
        <v>155</v>
      </c>
      <c r="AS486" s="59">
        <v>47</v>
      </c>
      <c r="AT486" s="59">
        <v>82</v>
      </c>
      <c r="AU486" s="59">
        <v>20</v>
      </c>
      <c r="AV486" s="62">
        <v>168</v>
      </c>
      <c r="AW486" s="10"/>
      <c r="AX486" s="326">
        <v>38017</v>
      </c>
      <c r="AY486" s="5">
        <v>-1</v>
      </c>
      <c r="AZ486" s="10"/>
      <c r="BA486" s="61">
        <v>1745</v>
      </c>
      <c r="BB486" s="59">
        <v>30175465</v>
      </c>
      <c r="BC486" s="59"/>
      <c r="BD486" s="59"/>
      <c r="BE486" s="59">
        <v>58</v>
      </c>
      <c r="BF486" s="59">
        <v>4</v>
      </c>
      <c r="BG486" s="59">
        <v>0</v>
      </c>
      <c r="BH486" s="351"/>
      <c r="BI486" s="59">
        <v>1945817</v>
      </c>
      <c r="BJ486" s="342">
        <v>38027</v>
      </c>
      <c r="BK486" s="342">
        <v>38111</v>
      </c>
      <c r="BL486" s="320">
        <f>BK486-BJ486</f>
        <v>84</v>
      </c>
      <c r="BM486" s="62"/>
      <c r="BN486" s="10"/>
      <c r="BO486" s="8"/>
      <c r="BP486" s="62">
        <v>155</v>
      </c>
      <c r="BQ486" s="10"/>
      <c r="BR486" s="29">
        <v>2004</v>
      </c>
      <c r="BS486" s="64">
        <v>2004</v>
      </c>
      <c r="BT486" s="14">
        <v>3</v>
      </c>
      <c r="BU486" s="10"/>
      <c r="BV486" s="61">
        <v>0</v>
      </c>
      <c r="BW486" s="59">
        <v>1</v>
      </c>
      <c r="BX486" s="59">
        <v>0</v>
      </c>
      <c r="BY486" s="59"/>
      <c r="BZ486" s="59"/>
      <c r="CA486" s="59"/>
      <c r="CB486" s="59"/>
      <c r="CC486" s="221"/>
      <c r="CD486" s="59">
        <v>2</v>
      </c>
      <c r="CE486" s="317">
        <v>0</v>
      </c>
      <c r="CF486" s="59">
        <v>0</v>
      </c>
      <c r="CG486" s="59">
        <v>0</v>
      </c>
      <c r="CH486" s="59"/>
      <c r="CI486" s="59">
        <v>5</v>
      </c>
      <c r="CJ486" s="59">
        <v>6</v>
      </c>
      <c r="CK486" s="59"/>
      <c r="CL486" s="59"/>
      <c r="CM486" s="59">
        <v>0</v>
      </c>
      <c r="CN486" s="59"/>
      <c r="CO486" s="59">
        <v>6</v>
      </c>
      <c r="CP486" s="317"/>
      <c r="CQ486" s="59"/>
      <c r="CR486" s="59"/>
      <c r="CS486" s="59">
        <v>0</v>
      </c>
      <c r="CT486" s="59">
        <v>2</v>
      </c>
      <c r="CU486" s="59">
        <v>0</v>
      </c>
      <c r="CV486" s="59">
        <v>2</v>
      </c>
      <c r="CW486" s="59"/>
      <c r="CX486" s="59"/>
      <c r="CY486" s="59">
        <v>0</v>
      </c>
      <c r="CZ486" s="59"/>
      <c r="DA486" s="59"/>
      <c r="DB486" s="59">
        <v>1</v>
      </c>
      <c r="DC486" s="59"/>
      <c r="DD486" s="59"/>
      <c r="DE486" s="59"/>
      <c r="DF486" s="59"/>
      <c r="DG486" s="59">
        <v>3</v>
      </c>
      <c r="DH486" s="59">
        <v>2</v>
      </c>
      <c r="DI486" s="59">
        <v>0</v>
      </c>
      <c r="DJ486" s="59">
        <v>0</v>
      </c>
      <c r="DK486" s="59"/>
      <c r="DL486" s="59"/>
      <c r="DM486" s="59">
        <v>0</v>
      </c>
      <c r="DN486" s="59"/>
      <c r="DO486" s="59">
        <v>6</v>
      </c>
      <c r="DP486" s="59"/>
      <c r="DQ486" s="59"/>
      <c r="DR486" s="59"/>
      <c r="DS486" s="59">
        <v>0</v>
      </c>
      <c r="DT486" s="59">
        <v>0</v>
      </c>
      <c r="DU486" s="59">
        <v>0</v>
      </c>
      <c r="DV486" s="38">
        <f t="shared" si="220"/>
        <v>36</v>
      </c>
      <c r="DW486" s="14" t="str">
        <f t="shared" si="221"/>
        <v/>
      </c>
      <c r="DY486" s="369">
        <f t="shared" si="223"/>
        <v>36</v>
      </c>
    </row>
    <row r="487" spans="1:129" customFormat="1">
      <c r="A487" s="210">
        <v>38032</v>
      </c>
      <c r="B487" s="211"/>
      <c r="C487" s="61">
        <v>0</v>
      </c>
      <c r="D487" s="59">
        <v>14</v>
      </c>
      <c r="E487" s="59">
        <v>2</v>
      </c>
      <c r="F487" s="59">
        <v>2</v>
      </c>
      <c r="G487" s="59">
        <v>2</v>
      </c>
      <c r="H487" s="59">
        <v>2</v>
      </c>
      <c r="I487" s="59">
        <v>0</v>
      </c>
      <c r="J487" s="59">
        <v>7</v>
      </c>
      <c r="K487" s="59">
        <v>0</v>
      </c>
      <c r="L487" s="59">
        <v>0</v>
      </c>
      <c r="M487" s="59">
        <v>0</v>
      </c>
      <c r="N487" s="59">
        <v>0</v>
      </c>
      <c r="O487" s="59">
        <v>1</v>
      </c>
      <c r="P487" s="59">
        <v>3</v>
      </c>
      <c r="Q487" s="59">
        <v>0</v>
      </c>
      <c r="R487" s="59">
        <v>0</v>
      </c>
      <c r="S487" s="35">
        <f t="shared" si="222"/>
        <v>33</v>
      </c>
      <c r="T487" s="59"/>
      <c r="U487" s="59">
        <v>30</v>
      </c>
      <c r="V487" s="59"/>
      <c r="W487" s="59">
        <v>0</v>
      </c>
      <c r="X487" s="62">
        <v>0</v>
      </c>
      <c r="Y487" s="10"/>
      <c r="Z487" s="61">
        <v>1150464</v>
      </c>
      <c r="AA487" s="59"/>
      <c r="AB487" s="59"/>
      <c r="AC487" s="61">
        <v>478800</v>
      </c>
      <c r="AD487" s="59"/>
      <c r="AE487" s="35">
        <f t="shared" si="219"/>
        <v>478800</v>
      </c>
      <c r="AF487" s="10"/>
      <c r="AG487" s="61">
        <v>74</v>
      </c>
      <c r="AH487" s="59">
        <v>16</v>
      </c>
      <c r="AI487" s="59">
        <v>98</v>
      </c>
      <c r="AJ487" s="62"/>
      <c r="AK487" s="10"/>
      <c r="AL487" s="61"/>
      <c r="AM487" s="59"/>
      <c r="AN487" s="35"/>
      <c r="AO487" s="279"/>
      <c r="AP487" s="279"/>
      <c r="AQ487" s="281"/>
      <c r="AR487" s="59">
        <v>155</v>
      </c>
      <c r="AS487" s="59">
        <v>46</v>
      </c>
      <c r="AT487" s="59">
        <v>82</v>
      </c>
      <c r="AU487" s="59">
        <v>20</v>
      </c>
      <c r="AV487" s="62">
        <v>167</v>
      </c>
      <c r="AW487" s="10"/>
      <c r="AX487" s="326">
        <v>38028</v>
      </c>
      <c r="AY487" s="5">
        <v>-4</v>
      </c>
      <c r="AZ487" s="10"/>
      <c r="BA487" s="61"/>
      <c r="BB487" s="59"/>
      <c r="BC487" s="59"/>
      <c r="BD487" s="59"/>
      <c r="BE487" s="59"/>
      <c r="BF487" s="59"/>
      <c r="BG487" s="59"/>
      <c r="BH487" s="351"/>
      <c r="BI487" s="59"/>
      <c r="BJ487" s="342"/>
      <c r="BK487" s="342"/>
      <c r="BL487" s="320"/>
      <c r="BM487" s="62"/>
      <c r="BN487" s="10"/>
      <c r="BO487" s="8"/>
      <c r="BP487" s="62"/>
      <c r="BQ487" s="10"/>
      <c r="BR487" s="29">
        <v>2004</v>
      </c>
      <c r="BS487" s="64">
        <v>2004</v>
      </c>
      <c r="BT487" s="14">
        <v>4</v>
      </c>
      <c r="BU487" s="10"/>
      <c r="BV487" s="61">
        <v>0</v>
      </c>
      <c r="BW487" s="59">
        <v>0</v>
      </c>
      <c r="BX487" s="59">
        <v>0</v>
      </c>
      <c r="BY487" s="59"/>
      <c r="BZ487" s="59"/>
      <c r="CA487" s="59"/>
      <c r="CB487" s="59"/>
      <c r="CC487" s="221"/>
      <c r="CD487" s="59">
        <v>11</v>
      </c>
      <c r="CE487" s="317">
        <v>0</v>
      </c>
      <c r="CF487" s="59">
        <v>0</v>
      </c>
      <c r="CG487" s="59">
        <v>0</v>
      </c>
      <c r="CH487" s="59"/>
      <c r="CI487" s="59">
        <v>0</v>
      </c>
      <c r="CJ487" s="59">
        <v>1</v>
      </c>
      <c r="CK487" s="59"/>
      <c r="CL487" s="59"/>
      <c r="CM487" s="59">
        <v>0</v>
      </c>
      <c r="CN487" s="59"/>
      <c r="CO487" s="59">
        <v>0</v>
      </c>
      <c r="CP487" s="317"/>
      <c r="CQ487" s="59"/>
      <c r="CR487" s="59"/>
      <c r="CS487" s="59">
        <v>0</v>
      </c>
      <c r="CT487" s="59">
        <v>2</v>
      </c>
      <c r="CU487" s="59">
        <v>0</v>
      </c>
      <c r="CV487" s="59">
        <v>2</v>
      </c>
      <c r="CW487" s="59"/>
      <c r="CX487" s="59"/>
      <c r="CY487" s="59">
        <v>0</v>
      </c>
      <c r="CZ487" s="59"/>
      <c r="DA487" s="59"/>
      <c r="DB487" s="59">
        <v>1</v>
      </c>
      <c r="DC487" s="59"/>
      <c r="DD487" s="59"/>
      <c r="DE487" s="59"/>
      <c r="DF487" s="59"/>
      <c r="DG487" s="59">
        <v>3</v>
      </c>
      <c r="DH487" s="59">
        <v>0</v>
      </c>
      <c r="DI487" s="59">
        <v>2</v>
      </c>
      <c r="DJ487" s="59">
        <v>0</v>
      </c>
      <c r="DK487" s="59"/>
      <c r="DL487" s="59"/>
      <c r="DM487" s="59">
        <v>1</v>
      </c>
      <c r="DN487" s="59"/>
      <c r="DO487" s="59">
        <v>0</v>
      </c>
      <c r="DP487" s="59"/>
      <c r="DQ487" s="59"/>
      <c r="DR487" s="59"/>
      <c r="DS487" s="59">
        <v>10</v>
      </c>
      <c r="DT487" s="59">
        <v>0</v>
      </c>
      <c r="DU487" s="59">
        <v>0</v>
      </c>
      <c r="DV487" s="38">
        <f t="shared" si="220"/>
        <v>33</v>
      </c>
      <c r="DW487" s="14" t="str">
        <f t="shared" si="221"/>
        <v/>
      </c>
      <c r="DY487" s="369">
        <f t="shared" si="223"/>
        <v>33</v>
      </c>
    </row>
    <row r="488" spans="1:129" customFormat="1">
      <c r="A488" s="210">
        <v>38047</v>
      </c>
      <c r="B488" s="211"/>
      <c r="C488" s="61">
        <v>5</v>
      </c>
      <c r="D488" s="59">
        <v>9</v>
      </c>
      <c r="E488" s="59">
        <v>0</v>
      </c>
      <c r="F488" s="59">
        <v>0</v>
      </c>
      <c r="G488" s="59">
        <v>1</v>
      </c>
      <c r="H488" s="59">
        <v>0</v>
      </c>
      <c r="I488" s="59">
        <v>0</v>
      </c>
      <c r="J488" s="59">
        <v>5</v>
      </c>
      <c r="K488" s="59">
        <v>0</v>
      </c>
      <c r="L488" s="59">
        <v>0</v>
      </c>
      <c r="M488" s="59">
        <v>0</v>
      </c>
      <c r="N488" s="59">
        <v>0</v>
      </c>
      <c r="O488" s="59">
        <v>0</v>
      </c>
      <c r="P488" s="59">
        <v>0</v>
      </c>
      <c r="Q488" s="59">
        <v>0</v>
      </c>
      <c r="R488" s="59">
        <v>0</v>
      </c>
      <c r="S488" s="35">
        <f t="shared" si="222"/>
        <v>20</v>
      </c>
      <c r="T488" s="59"/>
      <c r="U488" s="59">
        <v>17</v>
      </c>
      <c r="V488" s="59"/>
      <c r="W488" s="59">
        <v>0</v>
      </c>
      <c r="X488" s="62">
        <v>0</v>
      </c>
      <c r="Y488" s="10"/>
      <c r="Z488" s="61">
        <v>883712</v>
      </c>
      <c r="AA488" s="59"/>
      <c r="AB488" s="59"/>
      <c r="AC488" s="61">
        <v>235600</v>
      </c>
      <c r="AD488" s="59"/>
      <c r="AE488" s="35">
        <f t="shared" si="219"/>
        <v>235600</v>
      </c>
      <c r="AF488" s="10"/>
      <c r="AG488" s="61">
        <v>44</v>
      </c>
      <c r="AH488" s="59">
        <v>17</v>
      </c>
      <c r="AI488" s="59">
        <v>70</v>
      </c>
      <c r="AJ488" s="62"/>
      <c r="AK488" s="10"/>
      <c r="AL488" s="61"/>
      <c r="AM488" s="59"/>
      <c r="AN488" s="35"/>
      <c r="AO488" s="279"/>
      <c r="AP488" s="279"/>
      <c r="AQ488" s="281"/>
      <c r="AR488" s="59">
        <v>155</v>
      </c>
      <c r="AS488" s="59">
        <v>48</v>
      </c>
      <c r="AT488" s="59">
        <v>75</v>
      </c>
      <c r="AU488" s="59">
        <v>19</v>
      </c>
      <c r="AV488" s="62">
        <v>163</v>
      </c>
      <c r="AW488" s="10"/>
      <c r="AX488" s="326">
        <v>38044</v>
      </c>
      <c r="AY488" s="5">
        <v>-3</v>
      </c>
      <c r="AZ488" s="10"/>
      <c r="BA488" s="61">
        <v>1753</v>
      </c>
      <c r="BB488" s="59">
        <v>30276795</v>
      </c>
      <c r="BC488" s="59"/>
      <c r="BD488" s="59"/>
      <c r="BE488" s="59">
        <v>37</v>
      </c>
      <c r="BF488" s="59">
        <v>8</v>
      </c>
      <c r="BG488" s="59">
        <v>0</v>
      </c>
      <c r="BH488" s="351"/>
      <c r="BI488" s="59">
        <v>1184869</v>
      </c>
      <c r="BJ488" s="342">
        <v>38056</v>
      </c>
      <c r="BK488" s="342">
        <v>38145</v>
      </c>
      <c r="BL488" s="320">
        <f>BK488-BJ488</f>
        <v>89</v>
      </c>
      <c r="BM488" s="62"/>
      <c r="BN488" s="59"/>
      <c r="BO488" s="61"/>
      <c r="BP488" s="62">
        <v>155</v>
      </c>
      <c r="BQ488" s="10"/>
      <c r="BR488" s="29">
        <v>2004</v>
      </c>
      <c r="BS488" s="64">
        <v>2004</v>
      </c>
      <c r="BT488" s="14">
        <v>5</v>
      </c>
      <c r="BU488" s="10"/>
      <c r="BV488" s="61">
        <v>0</v>
      </c>
      <c r="BW488" s="59">
        <v>1</v>
      </c>
      <c r="BX488" s="59">
        <v>0</v>
      </c>
      <c r="BY488" s="59"/>
      <c r="BZ488" s="59"/>
      <c r="CA488" s="59"/>
      <c r="CB488" s="59"/>
      <c r="CC488" s="221"/>
      <c r="CD488" s="59">
        <v>3</v>
      </c>
      <c r="CE488" s="317">
        <v>0</v>
      </c>
      <c r="CF488" s="59">
        <v>0</v>
      </c>
      <c r="CG488" s="59">
        <v>0</v>
      </c>
      <c r="CH488" s="59"/>
      <c r="CI488" s="59">
        <v>0</v>
      </c>
      <c r="CJ488" s="59">
        <v>6</v>
      </c>
      <c r="CK488" s="59"/>
      <c r="CL488" s="59"/>
      <c r="CM488" s="59">
        <v>0</v>
      </c>
      <c r="CN488" s="59"/>
      <c r="CO488" s="59">
        <v>1</v>
      </c>
      <c r="CP488" s="317"/>
      <c r="CQ488" s="59"/>
      <c r="CR488" s="59"/>
      <c r="CS488" s="59">
        <v>0</v>
      </c>
      <c r="CT488" s="59">
        <v>1</v>
      </c>
      <c r="CU488" s="59">
        <v>0</v>
      </c>
      <c r="CV488" s="59">
        <v>3</v>
      </c>
      <c r="CW488" s="59"/>
      <c r="CX488" s="59"/>
      <c r="CY488" s="59">
        <v>0</v>
      </c>
      <c r="CZ488" s="59"/>
      <c r="DA488" s="59"/>
      <c r="DB488" s="59">
        <v>1</v>
      </c>
      <c r="DC488" s="59"/>
      <c r="DD488" s="59"/>
      <c r="DE488" s="59"/>
      <c r="DF488" s="59"/>
      <c r="DG488" s="59">
        <v>1</v>
      </c>
      <c r="DH488" s="59">
        <v>1</v>
      </c>
      <c r="DI488" s="59">
        <v>0</v>
      </c>
      <c r="DJ488" s="59">
        <v>0</v>
      </c>
      <c r="DK488" s="59"/>
      <c r="DL488" s="59"/>
      <c r="DM488" s="59">
        <v>1</v>
      </c>
      <c r="DN488" s="59"/>
      <c r="DO488" s="59">
        <v>0</v>
      </c>
      <c r="DP488" s="59"/>
      <c r="DQ488" s="59"/>
      <c r="DR488" s="59"/>
      <c r="DS488" s="59">
        <v>0</v>
      </c>
      <c r="DT488" s="59">
        <v>1</v>
      </c>
      <c r="DU488" s="59">
        <v>0</v>
      </c>
      <c r="DV488" s="38">
        <f t="shared" si="220"/>
        <v>20</v>
      </c>
      <c r="DW488" s="14" t="str">
        <f t="shared" si="221"/>
        <v/>
      </c>
      <c r="DY488" s="369">
        <f t="shared" si="223"/>
        <v>20</v>
      </c>
    </row>
    <row r="489" spans="1:129" customFormat="1">
      <c r="A489" s="210">
        <v>38061</v>
      </c>
      <c r="B489" s="211"/>
      <c r="C489" s="61">
        <v>1</v>
      </c>
      <c r="D489" s="59">
        <v>14</v>
      </c>
      <c r="E489" s="59">
        <v>1</v>
      </c>
      <c r="F489" s="59">
        <v>0</v>
      </c>
      <c r="G489" s="59">
        <v>0</v>
      </c>
      <c r="H489" s="59">
        <v>0</v>
      </c>
      <c r="I489" s="59">
        <v>0</v>
      </c>
      <c r="J489" s="59">
        <v>11</v>
      </c>
      <c r="K489" s="59">
        <v>1</v>
      </c>
      <c r="L489" s="59">
        <v>0</v>
      </c>
      <c r="M489" s="59">
        <v>0</v>
      </c>
      <c r="N489" s="59">
        <v>0</v>
      </c>
      <c r="O489" s="59">
        <v>0</v>
      </c>
      <c r="P489" s="59">
        <v>0</v>
      </c>
      <c r="Q489" s="59">
        <v>1</v>
      </c>
      <c r="R489" s="59">
        <v>0</v>
      </c>
      <c r="S489" s="35">
        <f t="shared" si="222"/>
        <v>29</v>
      </c>
      <c r="T489" s="59"/>
      <c r="U489" s="59">
        <v>10</v>
      </c>
      <c r="V489" s="59"/>
      <c r="W489" s="59">
        <v>0</v>
      </c>
      <c r="X489" s="62">
        <v>0</v>
      </c>
      <c r="Y489" s="10"/>
      <c r="Z489" s="61">
        <v>1105408</v>
      </c>
      <c r="AA489" s="59"/>
      <c r="AB489" s="59"/>
      <c r="AC489" s="61">
        <v>377000</v>
      </c>
      <c r="AD489" s="59"/>
      <c r="AE489" s="35">
        <f t="shared" si="219"/>
        <v>377000</v>
      </c>
      <c r="AF489" s="10"/>
      <c r="AG489" s="61">
        <v>62</v>
      </c>
      <c r="AH489" s="59">
        <v>19</v>
      </c>
      <c r="AI489" s="59">
        <v>90</v>
      </c>
      <c r="AJ489" s="62"/>
      <c r="AK489" s="10"/>
      <c r="AL489" s="61"/>
      <c r="AM489" s="59"/>
      <c r="AN489" s="35"/>
      <c r="AO489" s="279"/>
      <c r="AP489" s="279"/>
      <c r="AQ489" s="281"/>
      <c r="AR489" s="59">
        <v>155</v>
      </c>
      <c r="AS489" s="59">
        <v>48</v>
      </c>
      <c r="AT489" s="59">
        <v>76</v>
      </c>
      <c r="AU489" s="59">
        <v>19</v>
      </c>
      <c r="AV489" s="62">
        <v>164</v>
      </c>
      <c r="AW489" s="10"/>
      <c r="AX489" s="326">
        <v>38058</v>
      </c>
      <c r="AY489" s="5">
        <v>-3</v>
      </c>
      <c r="AZ489" s="10"/>
      <c r="BA489" s="61"/>
      <c r="BB489" s="59"/>
      <c r="BC489" s="59"/>
      <c r="BD489" s="59"/>
      <c r="BE489" s="59"/>
      <c r="BF489" s="59"/>
      <c r="BG489" s="59"/>
      <c r="BH489" s="351"/>
      <c r="BI489" s="59"/>
      <c r="BJ489" s="342"/>
      <c r="BK489" s="342"/>
      <c r="BL489" s="320"/>
      <c r="BM489" s="62"/>
      <c r="BN489" s="10"/>
      <c r="BO489" s="8"/>
      <c r="BP489" s="62"/>
      <c r="BQ489" s="10"/>
      <c r="BR489" s="29">
        <v>2004</v>
      </c>
      <c r="BS489" s="64">
        <v>2004</v>
      </c>
      <c r="BT489" s="14">
        <v>6</v>
      </c>
      <c r="BU489" s="10"/>
      <c r="BV489" s="61">
        <v>1</v>
      </c>
      <c r="BW489" s="59">
        <v>0</v>
      </c>
      <c r="BX489" s="59">
        <v>0</v>
      </c>
      <c r="BY489" s="59"/>
      <c r="BZ489" s="59"/>
      <c r="CA489" s="59"/>
      <c r="CB489" s="59"/>
      <c r="CC489" s="221"/>
      <c r="CD489" s="59">
        <v>1</v>
      </c>
      <c r="CE489" s="317">
        <v>0</v>
      </c>
      <c r="CF489" s="59">
        <v>0</v>
      </c>
      <c r="CG489" s="59">
        <v>0</v>
      </c>
      <c r="CH489" s="59"/>
      <c r="CI489" s="59">
        <v>10</v>
      </c>
      <c r="CJ489" s="59">
        <v>5</v>
      </c>
      <c r="CK489" s="59"/>
      <c r="CL489" s="59"/>
      <c r="CM489" s="59">
        <v>0</v>
      </c>
      <c r="CN489" s="59"/>
      <c r="CO489" s="59">
        <v>5</v>
      </c>
      <c r="CP489" s="317"/>
      <c r="CQ489" s="59"/>
      <c r="CR489" s="59"/>
      <c r="CS489" s="59">
        <v>0</v>
      </c>
      <c r="CT489" s="59">
        <v>0</v>
      </c>
      <c r="CU489" s="59">
        <v>0</v>
      </c>
      <c r="CV489" s="59">
        <v>3</v>
      </c>
      <c r="CW489" s="59"/>
      <c r="CX489" s="59"/>
      <c r="CY489" s="59">
        <v>2</v>
      </c>
      <c r="CZ489" s="59"/>
      <c r="DA489" s="59"/>
      <c r="DB489" s="59">
        <v>0</v>
      </c>
      <c r="DC489" s="59"/>
      <c r="DD489" s="59"/>
      <c r="DE489" s="59"/>
      <c r="DF489" s="59"/>
      <c r="DG489" s="59">
        <v>1</v>
      </c>
      <c r="DH489" s="59">
        <v>0</v>
      </c>
      <c r="DI489" s="59">
        <v>0</v>
      </c>
      <c r="DJ489" s="59">
        <v>0</v>
      </c>
      <c r="DK489" s="59"/>
      <c r="DL489" s="59"/>
      <c r="DM489" s="59">
        <v>1</v>
      </c>
      <c r="DN489" s="59"/>
      <c r="DO489" s="59">
        <v>0</v>
      </c>
      <c r="DP489" s="59"/>
      <c r="DQ489" s="59"/>
      <c r="DR489" s="59"/>
      <c r="DS489" s="59">
        <v>0</v>
      </c>
      <c r="DT489" s="59">
        <v>0</v>
      </c>
      <c r="DU489" s="59">
        <v>0</v>
      </c>
      <c r="DV489" s="38">
        <f t="shared" si="220"/>
        <v>29</v>
      </c>
      <c r="DW489" s="14" t="str">
        <f t="shared" si="221"/>
        <v/>
      </c>
      <c r="DY489" s="369">
        <f t="shared" si="223"/>
        <v>29</v>
      </c>
    </row>
    <row r="490" spans="1:129" customFormat="1">
      <c r="A490" s="210">
        <v>38078</v>
      </c>
      <c r="B490" s="211"/>
      <c r="C490" s="61">
        <v>0</v>
      </c>
      <c r="D490" s="59">
        <v>9</v>
      </c>
      <c r="E490" s="59">
        <v>1</v>
      </c>
      <c r="F490" s="59">
        <v>0</v>
      </c>
      <c r="G490" s="59">
        <v>1</v>
      </c>
      <c r="H490" s="59">
        <v>0</v>
      </c>
      <c r="I490" s="59">
        <v>0</v>
      </c>
      <c r="J490" s="59">
        <v>3</v>
      </c>
      <c r="K490" s="59">
        <v>0</v>
      </c>
      <c r="L490" s="59">
        <v>0</v>
      </c>
      <c r="M490" s="59">
        <v>0</v>
      </c>
      <c r="N490" s="59">
        <v>0</v>
      </c>
      <c r="O490" s="59">
        <v>7</v>
      </c>
      <c r="P490" s="59">
        <v>1</v>
      </c>
      <c r="Q490" s="59">
        <v>0</v>
      </c>
      <c r="R490" s="59">
        <v>0</v>
      </c>
      <c r="S490" s="35">
        <f t="shared" si="222"/>
        <v>22</v>
      </c>
      <c r="T490" s="59"/>
      <c r="U490" s="59">
        <v>6</v>
      </c>
      <c r="V490" s="59"/>
      <c r="W490" s="59">
        <v>0</v>
      </c>
      <c r="X490" s="62">
        <v>0</v>
      </c>
      <c r="Y490" s="10"/>
      <c r="Z490" s="61">
        <v>925184</v>
      </c>
      <c r="AA490" s="59"/>
      <c r="AB490" s="59"/>
      <c r="AC490" s="61">
        <v>298500</v>
      </c>
      <c r="AD490" s="59"/>
      <c r="AE490" s="35">
        <f t="shared" si="219"/>
        <v>298500</v>
      </c>
      <c r="AF490" s="10"/>
      <c r="AG490" s="61">
        <v>33</v>
      </c>
      <c r="AH490" s="59">
        <v>21</v>
      </c>
      <c r="AI490" s="59">
        <v>64</v>
      </c>
      <c r="AJ490" s="62"/>
      <c r="AK490" s="10"/>
      <c r="AL490" s="61">
        <v>0</v>
      </c>
      <c r="AM490" s="59">
        <v>66</v>
      </c>
      <c r="AN490" s="35">
        <f>SUM(AL490:AM490)</f>
        <v>66</v>
      </c>
      <c r="AO490" s="279"/>
      <c r="AP490" s="279"/>
      <c r="AQ490" s="281"/>
      <c r="AR490" s="59">
        <v>154</v>
      </c>
      <c r="AS490" s="59">
        <v>49</v>
      </c>
      <c r="AT490" s="59">
        <v>72</v>
      </c>
      <c r="AU490" s="59">
        <v>20</v>
      </c>
      <c r="AV490" s="62">
        <v>163</v>
      </c>
      <c r="AW490" s="10"/>
      <c r="AX490" s="326">
        <v>38077</v>
      </c>
      <c r="AY490" s="5">
        <v>-1</v>
      </c>
      <c r="AZ490" s="10"/>
      <c r="BA490" s="61">
        <v>1754</v>
      </c>
      <c r="BB490" s="59">
        <v>30318040</v>
      </c>
      <c r="BC490" s="59"/>
      <c r="BD490" s="59"/>
      <c r="BE490" s="59">
        <v>25</v>
      </c>
      <c r="BF490" s="59">
        <v>3</v>
      </c>
      <c r="BG490" s="59">
        <v>1</v>
      </c>
      <c r="BH490" s="351"/>
      <c r="BI490" s="59">
        <v>1154433</v>
      </c>
      <c r="BJ490" s="342">
        <v>38087</v>
      </c>
      <c r="BK490" s="342">
        <v>38212</v>
      </c>
      <c r="BL490" s="320">
        <f>BK490-BJ490</f>
        <v>125</v>
      </c>
      <c r="BM490" s="62"/>
      <c r="BN490" s="59"/>
      <c r="BO490" s="61"/>
      <c r="BP490" s="62">
        <v>155</v>
      </c>
      <c r="BQ490" s="10"/>
      <c r="BR490" s="29">
        <v>2004</v>
      </c>
      <c r="BS490" s="64">
        <v>2004</v>
      </c>
      <c r="BT490" s="14">
        <v>7</v>
      </c>
      <c r="BU490" s="10"/>
      <c r="BV490" s="61">
        <v>1</v>
      </c>
      <c r="BW490" s="59">
        <v>3</v>
      </c>
      <c r="BX490" s="59">
        <v>0</v>
      </c>
      <c r="BY490" s="59"/>
      <c r="BZ490" s="59"/>
      <c r="CA490" s="59"/>
      <c r="CB490" s="59"/>
      <c r="CC490" s="221"/>
      <c r="CD490" s="59">
        <v>1</v>
      </c>
      <c r="CE490" s="317">
        <v>0</v>
      </c>
      <c r="CF490" s="59">
        <v>0</v>
      </c>
      <c r="CG490" s="59">
        <v>0</v>
      </c>
      <c r="CH490" s="59"/>
      <c r="CI490" s="59">
        <v>4</v>
      </c>
      <c r="CJ490" s="59">
        <v>2</v>
      </c>
      <c r="CK490" s="59"/>
      <c r="CL490" s="59"/>
      <c r="CM490" s="59">
        <v>0</v>
      </c>
      <c r="CN490" s="59"/>
      <c r="CO490" s="59">
        <v>2</v>
      </c>
      <c r="CP490" s="317"/>
      <c r="CQ490" s="59"/>
      <c r="CR490" s="59"/>
      <c r="CS490" s="59">
        <v>0</v>
      </c>
      <c r="CT490" s="59">
        <v>0</v>
      </c>
      <c r="CU490" s="59">
        <v>0</v>
      </c>
      <c r="CV490" s="59">
        <v>2</v>
      </c>
      <c r="CW490" s="59"/>
      <c r="CX490" s="59"/>
      <c r="CY490" s="59">
        <v>0</v>
      </c>
      <c r="CZ490" s="59"/>
      <c r="DA490" s="59"/>
      <c r="DB490" s="59">
        <v>1</v>
      </c>
      <c r="DC490" s="59"/>
      <c r="DD490" s="59"/>
      <c r="DE490" s="59"/>
      <c r="DF490" s="59"/>
      <c r="DG490" s="59">
        <v>2</v>
      </c>
      <c r="DH490" s="59">
        <v>0</v>
      </c>
      <c r="DI490" s="59">
        <v>1</v>
      </c>
      <c r="DJ490" s="59">
        <v>0</v>
      </c>
      <c r="DK490" s="59"/>
      <c r="DL490" s="59"/>
      <c r="DM490" s="59">
        <v>0</v>
      </c>
      <c r="DN490" s="59"/>
      <c r="DO490" s="59">
        <v>0</v>
      </c>
      <c r="DP490" s="59"/>
      <c r="DQ490" s="59"/>
      <c r="DR490" s="59"/>
      <c r="DS490" s="59">
        <v>3</v>
      </c>
      <c r="DT490" s="59">
        <v>0</v>
      </c>
      <c r="DU490" s="59">
        <v>0</v>
      </c>
      <c r="DV490" s="38">
        <f t="shared" si="220"/>
        <v>22</v>
      </c>
      <c r="DW490" s="14" t="str">
        <f t="shared" si="221"/>
        <v/>
      </c>
      <c r="DY490" s="369">
        <f t="shared" si="223"/>
        <v>22</v>
      </c>
    </row>
    <row r="491" spans="1:129" customFormat="1">
      <c r="A491" s="210">
        <v>38092</v>
      </c>
      <c r="B491" s="211"/>
      <c r="C491" s="61">
        <v>3</v>
      </c>
      <c r="D491" s="59">
        <v>35</v>
      </c>
      <c r="E491" s="59">
        <v>1</v>
      </c>
      <c r="F491" s="59">
        <v>0</v>
      </c>
      <c r="G491" s="59">
        <v>4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0</v>
      </c>
      <c r="N491" s="59">
        <v>0</v>
      </c>
      <c r="O491" s="59">
        <v>5</v>
      </c>
      <c r="P491" s="59">
        <v>0</v>
      </c>
      <c r="Q491" s="59">
        <v>0</v>
      </c>
      <c r="R491" s="59">
        <v>0</v>
      </c>
      <c r="S491" s="35">
        <f t="shared" si="222"/>
        <v>51</v>
      </c>
      <c r="T491" s="59"/>
      <c r="U491" s="59">
        <v>20</v>
      </c>
      <c r="V491" s="59"/>
      <c r="W491" s="59">
        <v>0</v>
      </c>
      <c r="X491" s="62">
        <v>1</v>
      </c>
      <c r="Y491" s="10"/>
      <c r="Z491" s="61">
        <v>1539072</v>
      </c>
      <c r="AA491" s="59"/>
      <c r="AB491" s="59"/>
      <c r="AC491" s="61">
        <v>1917650</v>
      </c>
      <c r="AD491" s="59"/>
      <c r="AE491" s="35">
        <f t="shared" si="219"/>
        <v>1917650</v>
      </c>
      <c r="AF491" s="10"/>
      <c r="AG491" s="61">
        <v>91</v>
      </c>
      <c r="AH491" s="59">
        <v>24</v>
      </c>
      <c r="AI491" s="59">
        <v>128</v>
      </c>
      <c r="AJ491" s="62"/>
      <c r="AK491" s="10"/>
      <c r="AL491" s="8"/>
      <c r="AM491" s="10"/>
      <c r="AN491" s="35"/>
      <c r="AO491" s="279"/>
      <c r="AP491" s="279"/>
      <c r="AQ491" s="281"/>
      <c r="AR491" s="59">
        <v>155</v>
      </c>
      <c r="AS491" s="59">
        <v>53</v>
      </c>
      <c r="AT491" s="59">
        <v>70</v>
      </c>
      <c r="AU491" s="59">
        <v>20</v>
      </c>
      <c r="AV491" s="62">
        <v>166</v>
      </c>
      <c r="AW491" s="10"/>
      <c r="AX491" s="326">
        <v>38091</v>
      </c>
      <c r="AY491" s="5">
        <v>-1</v>
      </c>
      <c r="AZ491" s="10"/>
      <c r="BA491" s="61"/>
      <c r="BB491" s="59"/>
      <c r="BC491" s="59"/>
      <c r="BD491" s="59"/>
      <c r="BE491" s="59"/>
      <c r="BF491" s="59"/>
      <c r="BG491" s="59"/>
      <c r="BH491" s="351"/>
      <c r="BI491" s="59"/>
      <c r="BJ491" s="342"/>
      <c r="BK491" s="342"/>
      <c r="BL491" s="320"/>
      <c r="BM491" s="62"/>
      <c r="BN491" s="59"/>
      <c r="BO491" s="61"/>
      <c r="BP491" s="62"/>
      <c r="BQ491" s="10"/>
      <c r="BR491" s="29">
        <v>2004</v>
      </c>
      <c r="BS491" s="64">
        <v>2004</v>
      </c>
      <c r="BT491" s="14">
        <v>8</v>
      </c>
      <c r="BU491" s="10"/>
      <c r="BV491" s="61">
        <v>0</v>
      </c>
      <c r="BW491" s="59">
        <v>0</v>
      </c>
      <c r="BX491" s="59">
        <v>23</v>
      </c>
      <c r="BY491" s="59"/>
      <c r="BZ491" s="59"/>
      <c r="CA491" s="59"/>
      <c r="CB491" s="59"/>
      <c r="CC491" s="221"/>
      <c r="CD491" s="59">
        <v>4</v>
      </c>
      <c r="CE491" s="317">
        <v>0</v>
      </c>
      <c r="CF491" s="59">
        <v>0</v>
      </c>
      <c r="CG491" s="59">
        <v>0</v>
      </c>
      <c r="CH491" s="59"/>
      <c r="CI491" s="59">
        <v>0</v>
      </c>
      <c r="CJ491" s="59">
        <v>6</v>
      </c>
      <c r="CK491" s="59"/>
      <c r="CL491" s="59"/>
      <c r="CM491" s="59">
        <v>0</v>
      </c>
      <c r="CN491" s="59"/>
      <c r="CO491" s="59">
        <v>5</v>
      </c>
      <c r="CP491" s="317"/>
      <c r="CQ491" s="59"/>
      <c r="CR491" s="59"/>
      <c r="CS491" s="59">
        <v>0</v>
      </c>
      <c r="CT491" s="59">
        <v>5</v>
      </c>
      <c r="CU491" s="59">
        <v>0</v>
      </c>
      <c r="CV491" s="59">
        <v>3</v>
      </c>
      <c r="CW491" s="59"/>
      <c r="CX491" s="59"/>
      <c r="CY491" s="59">
        <v>0</v>
      </c>
      <c r="CZ491" s="59"/>
      <c r="DA491" s="59"/>
      <c r="DB491" s="59">
        <v>5</v>
      </c>
      <c r="DC491" s="59"/>
      <c r="DD491" s="59"/>
      <c r="DE491" s="59"/>
      <c r="DF491" s="59"/>
      <c r="DG491" s="59">
        <v>0</v>
      </c>
      <c r="DH491" s="59">
        <v>0</v>
      </c>
      <c r="DI491" s="59">
        <v>0</v>
      </c>
      <c r="DJ491" s="59">
        <v>0</v>
      </c>
      <c r="DK491" s="59"/>
      <c r="DL491" s="59"/>
      <c r="DM491" s="59">
        <v>0</v>
      </c>
      <c r="DN491" s="59"/>
      <c r="DO491" s="59">
        <v>0</v>
      </c>
      <c r="DP491" s="59"/>
      <c r="DQ491" s="59"/>
      <c r="DR491" s="59"/>
      <c r="DS491" s="59">
        <v>0</v>
      </c>
      <c r="DT491" s="59">
        <v>0</v>
      </c>
      <c r="DU491" s="59">
        <v>0</v>
      </c>
      <c r="DV491" s="38">
        <f t="shared" si="220"/>
        <v>51</v>
      </c>
      <c r="DW491" s="14" t="str">
        <f t="shared" si="221"/>
        <v/>
      </c>
      <c r="DY491" s="369">
        <f t="shared" si="223"/>
        <v>51</v>
      </c>
    </row>
    <row r="492" spans="1:129" customFormat="1">
      <c r="A492" s="210">
        <v>38108</v>
      </c>
      <c r="B492" s="211"/>
      <c r="C492" s="61">
        <v>2</v>
      </c>
      <c r="D492" s="59">
        <v>47</v>
      </c>
      <c r="E492" s="59">
        <v>0</v>
      </c>
      <c r="F492" s="59">
        <v>0</v>
      </c>
      <c r="G492" s="59">
        <v>0</v>
      </c>
      <c r="H492" s="59">
        <v>0</v>
      </c>
      <c r="I492" s="59">
        <v>0</v>
      </c>
      <c r="J492" s="59">
        <v>0</v>
      </c>
      <c r="K492" s="59">
        <v>1</v>
      </c>
      <c r="L492" s="59">
        <v>0</v>
      </c>
      <c r="M492" s="59">
        <v>0</v>
      </c>
      <c r="N492" s="59">
        <v>0</v>
      </c>
      <c r="O492" s="59">
        <v>2</v>
      </c>
      <c r="P492" s="59">
        <v>1</v>
      </c>
      <c r="Q492" s="59">
        <v>0</v>
      </c>
      <c r="R492" s="59">
        <v>0</v>
      </c>
      <c r="S492" s="35">
        <f t="shared" si="222"/>
        <v>53</v>
      </c>
      <c r="T492" s="59"/>
      <c r="U492" s="59">
        <v>49</v>
      </c>
      <c r="V492" s="59"/>
      <c r="W492" s="59">
        <v>0</v>
      </c>
      <c r="X492" s="62">
        <v>0</v>
      </c>
      <c r="Y492" s="10"/>
      <c r="Z492" s="61">
        <v>1288704</v>
      </c>
      <c r="AA492" s="59"/>
      <c r="AB492" s="59"/>
      <c r="AC492" s="61">
        <v>1501179</v>
      </c>
      <c r="AD492" s="59"/>
      <c r="AE492" s="35">
        <f t="shared" si="219"/>
        <v>1501179</v>
      </c>
      <c r="AF492" s="10"/>
      <c r="AG492" s="61">
        <v>56</v>
      </c>
      <c r="AH492" s="59">
        <v>26</v>
      </c>
      <c r="AI492" s="59">
        <v>96</v>
      </c>
      <c r="AJ492" s="62"/>
      <c r="AK492" s="10"/>
      <c r="AL492" s="8"/>
      <c r="AM492" s="10"/>
      <c r="AN492" s="35"/>
      <c r="AO492" s="279"/>
      <c r="AP492" s="279"/>
      <c r="AQ492" s="281"/>
      <c r="AR492" s="59">
        <v>156</v>
      </c>
      <c r="AS492" s="59"/>
      <c r="AT492" s="59"/>
      <c r="AU492" s="59"/>
      <c r="AV492" s="62"/>
      <c r="AW492" s="10"/>
      <c r="AX492" s="326">
        <v>38107</v>
      </c>
      <c r="AY492" s="5">
        <v>-1</v>
      </c>
      <c r="AZ492" s="10"/>
      <c r="BA492" s="61">
        <v>1756</v>
      </c>
      <c r="BB492" s="59">
        <v>30410327</v>
      </c>
      <c r="BC492" s="59"/>
      <c r="BD492" s="59"/>
      <c r="BE492" s="59">
        <v>32</v>
      </c>
      <c r="BF492" s="59">
        <v>5</v>
      </c>
      <c r="BG492" s="59">
        <v>3</v>
      </c>
      <c r="BH492" s="351"/>
      <c r="BI492" s="59">
        <v>866083</v>
      </c>
      <c r="BJ492" s="342">
        <v>38117</v>
      </c>
      <c r="BK492" s="342">
        <v>38217</v>
      </c>
      <c r="BL492" s="320">
        <f>BK492-BJ492</f>
        <v>100</v>
      </c>
      <c r="BM492" s="62"/>
      <c r="BN492" s="59"/>
      <c r="BO492" s="61"/>
      <c r="BP492" s="62">
        <v>155</v>
      </c>
      <c r="BQ492" s="10"/>
      <c r="BR492" s="29">
        <v>2004</v>
      </c>
      <c r="BS492" s="64">
        <v>2004</v>
      </c>
      <c r="BT492" s="14">
        <v>9</v>
      </c>
      <c r="BU492" s="10"/>
      <c r="BV492" s="61">
        <v>0</v>
      </c>
      <c r="BW492" s="59">
        <v>1</v>
      </c>
      <c r="BX492" s="59">
        <v>0</v>
      </c>
      <c r="BY492" s="59"/>
      <c r="BZ492" s="59"/>
      <c r="CA492" s="59"/>
      <c r="CB492" s="59"/>
      <c r="CC492" s="221"/>
      <c r="CD492" s="59">
        <v>3</v>
      </c>
      <c r="CE492" s="317">
        <v>0</v>
      </c>
      <c r="CF492" s="59">
        <v>0</v>
      </c>
      <c r="CG492" s="59">
        <v>0</v>
      </c>
      <c r="CH492" s="59"/>
      <c r="CI492" s="59">
        <v>0</v>
      </c>
      <c r="CJ492" s="59">
        <v>0</v>
      </c>
      <c r="CK492" s="59"/>
      <c r="CL492" s="59"/>
      <c r="CM492" s="59">
        <v>0</v>
      </c>
      <c r="CN492" s="59"/>
      <c r="CO492" s="59">
        <v>0</v>
      </c>
      <c r="CP492" s="317"/>
      <c r="CQ492" s="59"/>
      <c r="CR492" s="59"/>
      <c r="CS492" s="59">
        <v>0</v>
      </c>
      <c r="CT492" s="59">
        <v>0</v>
      </c>
      <c r="CU492" s="59">
        <v>0</v>
      </c>
      <c r="CV492" s="59">
        <v>2</v>
      </c>
      <c r="CW492" s="59"/>
      <c r="CX492" s="59"/>
      <c r="CY492" s="59">
        <v>0</v>
      </c>
      <c r="CZ492" s="59"/>
      <c r="DA492" s="59"/>
      <c r="DB492" s="59">
        <v>1</v>
      </c>
      <c r="DC492" s="59"/>
      <c r="DD492" s="59"/>
      <c r="DE492" s="59"/>
      <c r="DF492" s="59"/>
      <c r="DG492" s="59">
        <v>3</v>
      </c>
      <c r="DH492" s="59">
        <v>0</v>
      </c>
      <c r="DI492" s="59">
        <v>0</v>
      </c>
      <c r="DJ492" s="59">
        <v>0</v>
      </c>
      <c r="DK492" s="59"/>
      <c r="DL492" s="59"/>
      <c r="DM492" s="59">
        <v>43</v>
      </c>
      <c r="DN492" s="59"/>
      <c r="DO492" s="59">
        <v>0</v>
      </c>
      <c r="DP492" s="59"/>
      <c r="DQ492" s="59"/>
      <c r="DR492" s="59"/>
      <c r="DS492" s="59">
        <v>0</v>
      </c>
      <c r="DT492" s="59">
        <v>0</v>
      </c>
      <c r="DU492" s="59">
        <v>0</v>
      </c>
      <c r="DV492" s="38">
        <f t="shared" si="220"/>
        <v>53</v>
      </c>
      <c r="DW492" s="14" t="str">
        <f t="shared" si="221"/>
        <v/>
      </c>
      <c r="DY492" s="369">
        <f t="shared" si="223"/>
        <v>53</v>
      </c>
    </row>
    <row r="493" spans="1:129" customFormat="1">
      <c r="A493" s="210">
        <v>38122</v>
      </c>
      <c r="B493" s="211"/>
      <c r="C493" s="61">
        <v>6</v>
      </c>
      <c r="D493" s="59">
        <v>12</v>
      </c>
      <c r="E493" s="59">
        <v>0</v>
      </c>
      <c r="F493" s="59">
        <v>0</v>
      </c>
      <c r="G493" s="59">
        <v>0</v>
      </c>
      <c r="H493" s="59">
        <v>0</v>
      </c>
      <c r="I493" s="59">
        <v>0</v>
      </c>
      <c r="J493" s="59">
        <v>6</v>
      </c>
      <c r="K493" s="59">
        <v>2</v>
      </c>
      <c r="L493" s="59">
        <v>0</v>
      </c>
      <c r="M493" s="59">
        <v>0</v>
      </c>
      <c r="N493" s="59">
        <v>0</v>
      </c>
      <c r="O493" s="59">
        <v>8</v>
      </c>
      <c r="P493" s="59">
        <v>0</v>
      </c>
      <c r="Q493" s="59">
        <v>1</v>
      </c>
      <c r="R493" s="59">
        <v>0</v>
      </c>
      <c r="S493" s="35">
        <f t="shared" si="222"/>
        <v>35</v>
      </c>
      <c r="T493" s="59"/>
      <c r="U493" s="59">
        <v>20</v>
      </c>
      <c r="V493" s="59"/>
      <c r="W493" s="59">
        <v>0</v>
      </c>
      <c r="X493" s="62">
        <v>0</v>
      </c>
      <c r="Y493" s="10"/>
      <c r="Z493" s="61">
        <v>1136128</v>
      </c>
      <c r="AA493" s="59"/>
      <c r="AB493" s="59"/>
      <c r="AC493" s="61">
        <v>504900</v>
      </c>
      <c r="AD493" s="59"/>
      <c r="AE493" s="35">
        <f t="shared" si="219"/>
        <v>504900</v>
      </c>
      <c r="AF493" s="10"/>
      <c r="AG493" s="61">
        <v>38</v>
      </c>
      <c r="AH493" s="59">
        <v>28</v>
      </c>
      <c r="AI493" s="59">
        <v>76</v>
      </c>
      <c r="AJ493" s="62"/>
      <c r="AK493" s="10"/>
      <c r="AL493" s="8"/>
      <c r="AM493" s="10"/>
      <c r="AN493" s="35"/>
      <c r="AO493" s="279"/>
      <c r="AP493" s="279"/>
      <c r="AQ493" s="281"/>
      <c r="AR493" s="59">
        <v>154</v>
      </c>
      <c r="AS493" s="59">
        <v>51</v>
      </c>
      <c r="AT493" s="59">
        <v>70</v>
      </c>
      <c r="AU493" s="59">
        <v>19</v>
      </c>
      <c r="AV493" s="62">
        <v>162</v>
      </c>
      <c r="AW493" s="10"/>
      <c r="AX493" s="326">
        <v>38122</v>
      </c>
      <c r="AY493" s="5">
        <v>0</v>
      </c>
      <c r="AZ493" s="10"/>
      <c r="BA493" s="8"/>
      <c r="BB493" s="10"/>
      <c r="BC493" s="10"/>
      <c r="BD493" s="10"/>
      <c r="BE493" s="10"/>
      <c r="BF493" s="10"/>
      <c r="BG493" s="10"/>
      <c r="BH493" s="30"/>
      <c r="BI493" s="10"/>
      <c r="BJ493" s="342"/>
      <c r="BK493" s="338"/>
      <c r="BL493" s="320"/>
      <c r="BM493" s="5"/>
      <c r="BN493" s="10"/>
      <c r="BO493" s="8"/>
      <c r="BP493" s="5"/>
      <c r="BQ493" s="10"/>
      <c r="BR493" s="29">
        <v>2004</v>
      </c>
      <c r="BS493" s="64">
        <v>2004</v>
      </c>
      <c r="BT493" s="14">
        <v>10</v>
      </c>
      <c r="BU493" s="10"/>
      <c r="BV493" s="61">
        <v>1</v>
      </c>
      <c r="BW493" s="59">
        <v>0</v>
      </c>
      <c r="BX493" s="59">
        <v>2</v>
      </c>
      <c r="BY493" s="59"/>
      <c r="BZ493" s="59"/>
      <c r="CA493" s="59"/>
      <c r="CB493" s="59"/>
      <c r="CC493" s="221"/>
      <c r="CD493" s="59">
        <v>6</v>
      </c>
      <c r="CE493" s="317">
        <v>0</v>
      </c>
      <c r="CF493" s="59">
        <v>2</v>
      </c>
      <c r="CG493" s="59">
        <v>0</v>
      </c>
      <c r="CH493" s="59"/>
      <c r="CI493" s="59">
        <v>0</v>
      </c>
      <c r="CJ493" s="59">
        <v>3</v>
      </c>
      <c r="CK493" s="59"/>
      <c r="CL493" s="59"/>
      <c r="CM493" s="59">
        <v>0</v>
      </c>
      <c r="CN493" s="59"/>
      <c r="CO493" s="59">
        <v>0</v>
      </c>
      <c r="CP493" s="317"/>
      <c r="CQ493" s="59"/>
      <c r="CR493" s="59"/>
      <c r="CS493" s="59">
        <v>0</v>
      </c>
      <c r="CT493" s="59">
        <v>4</v>
      </c>
      <c r="CU493" s="59">
        <v>0</v>
      </c>
      <c r="CV493" s="59">
        <v>8</v>
      </c>
      <c r="CW493" s="59"/>
      <c r="CX493" s="59"/>
      <c r="CY493" s="59">
        <v>0</v>
      </c>
      <c r="CZ493" s="59"/>
      <c r="DA493" s="59"/>
      <c r="DB493" s="59">
        <v>0</v>
      </c>
      <c r="DC493" s="59"/>
      <c r="DD493" s="59"/>
      <c r="DE493" s="59"/>
      <c r="DF493" s="59"/>
      <c r="DG493" s="59">
        <v>0</v>
      </c>
      <c r="DH493" s="59">
        <v>0</v>
      </c>
      <c r="DI493" s="59">
        <v>0</v>
      </c>
      <c r="DJ493" s="59">
        <v>0</v>
      </c>
      <c r="DK493" s="59"/>
      <c r="DL493" s="59"/>
      <c r="DM493" s="59">
        <v>0</v>
      </c>
      <c r="DN493" s="59"/>
      <c r="DO493" s="59">
        <v>1</v>
      </c>
      <c r="DP493" s="59"/>
      <c r="DQ493" s="59"/>
      <c r="DR493" s="59"/>
      <c r="DS493" s="59">
        <v>2</v>
      </c>
      <c r="DT493" s="59">
        <v>6</v>
      </c>
      <c r="DU493" s="59">
        <v>0</v>
      </c>
      <c r="DV493" s="38">
        <f t="shared" si="220"/>
        <v>35</v>
      </c>
      <c r="DW493" s="14" t="str">
        <f t="shared" si="221"/>
        <v/>
      </c>
      <c r="DY493" s="369">
        <f t="shared" si="223"/>
        <v>35</v>
      </c>
    </row>
    <row r="494" spans="1:129" customFormat="1">
      <c r="A494" s="210">
        <v>38139</v>
      </c>
      <c r="B494" s="211"/>
      <c r="C494" s="8">
        <v>1</v>
      </c>
      <c r="D494" s="59">
        <v>28</v>
      </c>
      <c r="E494" s="59">
        <v>1</v>
      </c>
      <c r="F494" s="59">
        <v>0</v>
      </c>
      <c r="G494" s="59">
        <v>0</v>
      </c>
      <c r="H494" s="59">
        <v>1</v>
      </c>
      <c r="I494" s="59">
        <v>0</v>
      </c>
      <c r="J494" s="59">
        <v>2</v>
      </c>
      <c r="K494" s="59">
        <v>1</v>
      </c>
      <c r="L494" s="59">
        <v>0</v>
      </c>
      <c r="M494" s="59">
        <v>0</v>
      </c>
      <c r="N494" s="59">
        <v>0</v>
      </c>
      <c r="O494" s="59">
        <v>8</v>
      </c>
      <c r="P494" s="59">
        <v>0</v>
      </c>
      <c r="Q494" s="59">
        <v>0</v>
      </c>
      <c r="R494" s="59">
        <v>0</v>
      </c>
      <c r="S494" s="35">
        <f>SUM(C494:R494)</f>
        <v>42</v>
      </c>
      <c r="T494" s="59"/>
      <c r="U494" s="59">
        <v>23</v>
      </c>
      <c r="V494" s="59"/>
      <c r="W494" s="59">
        <v>0</v>
      </c>
      <c r="X494" s="62">
        <v>0</v>
      </c>
      <c r="Y494" s="10"/>
      <c r="Z494" s="61">
        <v>1673728</v>
      </c>
      <c r="AA494" s="59"/>
      <c r="AB494" s="59"/>
      <c r="AC494" s="61">
        <v>700700</v>
      </c>
      <c r="AD494" s="59"/>
      <c r="AE494" s="35">
        <f t="shared" si="219"/>
        <v>700700</v>
      </c>
      <c r="AF494" s="10"/>
      <c r="AG494" s="8">
        <v>91</v>
      </c>
      <c r="AH494" s="59">
        <v>30</v>
      </c>
      <c r="AI494" s="59">
        <v>130</v>
      </c>
      <c r="AJ494" s="5"/>
      <c r="AK494" s="10"/>
      <c r="AL494" s="8"/>
      <c r="AM494" s="10"/>
      <c r="AN494" s="35"/>
      <c r="AO494" s="279"/>
      <c r="AP494" s="279"/>
      <c r="AQ494" s="281"/>
      <c r="AR494" s="59">
        <v>153</v>
      </c>
      <c r="AS494" s="59">
        <v>51</v>
      </c>
      <c r="AT494" s="59">
        <v>70</v>
      </c>
      <c r="AU494" s="59">
        <v>19</v>
      </c>
      <c r="AV494" s="62">
        <v>162</v>
      </c>
      <c r="AW494" s="10"/>
      <c r="AX494" s="326">
        <v>38135</v>
      </c>
      <c r="AY494" s="5">
        <v>-4</v>
      </c>
      <c r="AZ494" s="10"/>
      <c r="BA494" s="61">
        <v>1758</v>
      </c>
      <c r="BB494" s="59">
        <v>30538217</v>
      </c>
      <c r="BC494" s="10"/>
      <c r="BD494" s="10"/>
      <c r="BE494" s="59">
        <v>43</v>
      </c>
      <c r="BF494" s="59">
        <v>3</v>
      </c>
      <c r="BG494" s="59">
        <v>1</v>
      </c>
      <c r="BH494" s="351"/>
      <c r="BI494" s="59">
        <v>1243366</v>
      </c>
      <c r="BJ494" s="342">
        <v>38148</v>
      </c>
      <c r="BK494" s="342">
        <v>38245</v>
      </c>
      <c r="BL494" s="320">
        <f>BK494-BJ494</f>
        <v>97</v>
      </c>
      <c r="BM494" s="5"/>
      <c r="BN494" s="10"/>
      <c r="BO494" s="8"/>
      <c r="BP494" s="62">
        <v>155</v>
      </c>
      <c r="BQ494" s="10"/>
      <c r="BR494" s="29">
        <v>2004</v>
      </c>
      <c r="BS494" s="64">
        <v>2004</v>
      </c>
      <c r="BT494" s="14">
        <v>11</v>
      </c>
      <c r="BU494" s="10"/>
      <c r="BV494" s="61">
        <v>1</v>
      </c>
      <c r="BW494" s="59">
        <v>1</v>
      </c>
      <c r="BX494" s="59">
        <v>2</v>
      </c>
      <c r="BY494" s="59"/>
      <c r="BZ494" s="59"/>
      <c r="CA494" s="59"/>
      <c r="CB494" s="59"/>
      <c r="CC494" s="221"/>
      <c r="CD494" s="59">
        <v>1</v>
      </c>
      <c r="CE494" s="317">
        <v>0</v>
      </c>
      <c r="CF494" s="59">
        <v>0</v>
      </c>
      <c r="CG494" s="59">
        <v>0</v>
      </c>
      <c r="CH494" s="59"/>
      <c r="CI494" s="59">
        <v>0</v>
      </c>
      <c r="CJ494" s="59">
        <v>4</v>
      </c>
      <c r="CK494" s="59"/>
      <c r="CL494" s="59"/>
      <c r="CM494" s="59">
        <v>0</v>
      </c>
      <c r="CN494" s="59"/>
      <c r="CO494" s="59">
        <v>4</v>
      </c>
      <c r="CP494" s="317"/>
      <c r="CQ494" s="59"/>
      <c r="CR494" s="59"/>
      <c r="CS494" s="59">
        <v>14</v>
      </c>
      <c r="CT494" s="59">
        <v>0</v>
      </c>
      <c r="CU494" s="59">
        <v>0</v>
      </c>
      <c r="CV494" s="59">
        <v>1</v>
      </c>
      <c r="CW494" s="59"/>
      <c r="CX494" s="59"/>
      <c r="CY494" s="59">
        <v>2</v>
      </c>
      <c r="CZ494" s="59"/>
      <c r="DA494" s="59"/>
      <c r="DB494" s="59">
        <v>6</v>
      </c>
      <c r="DC494" s="59"/>
      <c r="DD494" s="59"/>
      <c r="DE494" s="59"/>
      <c r="DF494" s="59"/>
      <c r="DG494" s="59">
        <v>1</v>
      </c>
      <c r="DH494" s="59">
        <v>0</v>
      </c>
      <c r="DI494" s="59">
        <v>0</v>
      </c>
      <c r="DJ494" s="59">
        <v>1</v>
      </c>
      <c r="DK494" s="59"/>
      <c r="DL494" s="59"/>
      <c r="DM494" s="59">
        <v>1</v>
      </c>
      <c r="DN494" s="59"/>
      <c r="DO494" s="59">
        <v>1</v>
      </c>
      <c r="DP494" s="59"/>
      <c r="DQ494" s="59"/>
      <c r="DR494" s="59"/>
      <c r="DS494" s="59">
        <v>0</v>
      </c>
      <c r="DT494" s="59">
        <v>2</v>
      </c>
      <c r="DU494" s="59">
        <v>0</v>
      </c>
      <c r="DV494" s="38">
        <f t="shared" si="220"/>
        <v>42</v>
      </c>
      <c r="DW494" s="14" t="str">
        <f t="shared" si="221"/>
        <v/>
      </c>
      <c r="DY494" s="369">
        <f t="shared" si="223"/>
        <v>42</v>
      </c>
    </row>
    <row r="495" spans="1:129" customFormat="1">
      <c r="A495" s="210">
        <v>38153</v>
      </c>
      <c r="B495" s="211"/>
      <c r="C495" s="8">
        <v>3</v>
      </c>
      <c r="D495" s="59">
        <v>24</v>
      </c>
      <c r="E495" s="59">
        <v>4</v>
      </c>
      <c r="F495" s="59">
        <v>0</v>
      </c>
      <c r="G495" s="59">
        <v>2</v>
      </c>
      <c r="H495" s="59">
        <v>0</v>
      </c>
      <c r="I495" s="59">
        <v>0</v>
      </c>
      <c r="J495" s="59">
        <v>4</v>
      </c>
      <c r="K495" s="59">
        <v>0</v>
      </c>
      <c r="L495" s="59">
        <v>0</v>
      </c>
      <c r="M495" s="59">
        <v>0</v>
      </c>
      <c r="N495" s="59">
        <v>0</v>
      </c>
      <c r="O495" s="59">
        <v>1</v>
      </c>
      <c r="P495" s="59">
        <v>0</v>
      </c>
      <c r="Q495" s="59">
        <v>0</v>
      </c>
      <c r="R495" s="59">
        <v>0</v>
      </c>
      <c r="S495" s="35">
        <f>SUM(C495:R495)</f>
        <v>38</v>
      </c>
      <c r="T495" s="59"/>
      <c r="U495" s="59">
        <v>11</v>
      </c>
      <c r="V495" s="59"/>
      <c r="W495" s="59">
        <v>0</v>
      </c>
      <c r="X495" s="5">
        <v>0</v>
      </c>
      <c r="Y495" s="10"/>
      <c r="Z495" s="61">
        <v>1690624</v>
      </c>
      <c r="AA495" s="59"/>
      <c r="AB495" s="59"/>
      <c r="AC495" s="61">
        <v>482550</v>
      </c>
      <c r="AD495" s="59"/>
      <c r="AE495" s="35">
        <f t="shared" si="219"/>
        <v>482550</v>
      </c>
      <c r="AF495" s="10"/>
      <c r="AG495" s="8">
        <v>79</v>
      </c>
      <c r="AH495" s="59">
        <v>33</v>
      </c>
      <c r="AI495" s="59">
        <v>124</v>
      </c>
      <c r="AJ495" s="5"/>
      <c r="AK495" s="10"/>
      <c r="AL495" s="8"/>
      <c r="AM495" s="10"/>
      <c r="AN495" s="35"/>
      <c r="AO495" s="279"/>
      <c r="AP495" s="279"/>
      <c r="AQ495" s="281"/>
      <c r="AR495" s="59">
        <v>152</v>
      </c>
      <c r="AS495" s="59">
        <v>53</v>
      </c>
      <c r="AT495" s="59">
        <v>70</v>
      </c>
      <c r="AU495" s="59">
        <v>19</v>
      </c>
      <c r="AV495" s="62">
        <v>166</v>
      </c>
      <c r="AW495" s="10"/>
      <c r="AX495" s="326">
        <v>38152</v>
      </c>
      <c r="AY495" s="5">
        <v>-1</v>
      </c>
      <c r="AZ495" s="10"/>
      <c r="BA495" s="8"/>
      <c r="BB495" s="10"/>
      <c r="BC495" s="10"/>
      <c r="BD495" s="10"/>
      <c r="BE495" s="10"/>
      <c r="BF495" s="10"/>
      <c r="BG495" s="10"/>
      <c r="BH495" s="30"/>
      <c r="BI495" s="10"/>
      <c r="BJ495" s="338"/>
      <c r="BK495" s="338"/>
      <c r="BL495" s="320"/>
      <c r="BM495" s="5"/>
      <c r="BN495" s="10"/>
      <c r="BO495" s="8"/>
      <c r="BP495" s="5"/>
      <c r="BQ495" s="10"/>
      <c r="BR495" s="29">
        <v>2004</v>
      </c>
      <c r="BS495" s="64">
        <v>2004</v>
      </c>
      <c r="BT495" s="14">
        <v>12</v>
      </c>
      <c r="BU495" s="10"/>
      <c r="BV495" s="61">
        <v>0</v>
      </c>
      <c r="BW495" s="59">
        <v>0</v>
      </c>
      <c r="BX495" s="59">
        <v>1</v>
      </c>
      <c r="BY495" s="59"/>
      <c r="BZ495" s="59"/>
      <c r="CA495" s="59"/>
      <c r="CB495" s="59"/>
      <c r="CC495" s="221"/>
      <c r="CD495" s="59">
        <v>2</v>
      </c>
      <c r="CE495" s="317">
        <v>0</v>
      </c>
      <c r="CF495" s="59">
        <v>0</v>
      </c>
      <c r="CG495" s="59">
        <v>0</v>
      </c>
      <c r="CH495" s="59"/>
      <c r="CI495" s="59">
        <v>13</v>
      </c>
      <c r="CJ495" s="59">
        <v>7</v>
      </c>
      <c r="CK495" s="59"/>
      <c r="CL495" s="59"/>
      <c r="CM495" s="59">
        <v>0</v>
      </c>
      <c r="CN495" s="59"/>
      <c r="CO495" s="59">
        <v>4</v>
      </c>
      <c r="CP495" s="317"/>
      <c r="CQ495" s="59"/>
      <c r="CR495" s="59"/>
      <c r="CS495" s="59">
        <v>0</v>
      </c>
      <c r="CT495" s="59">
        <v>1</v>
      </c>
      <c r="CU495" s="59">
        <v>0</v>
      </c>
      <c r="CV495" s="59">
        <v>1</v>
      </c>
      <c r="CW495" s="59"/>
      <c r="CX495" s="59"/>
      <c r="CY495" s="59">
        <v>0</v>
      </c>
      <c r="CZ495" s="59"/>
      <c r="DA495" s="59"/>
      <c r="DB495" s="59">
        <v>4</v>
      </c>
      <c r="DC495" s="59"/>
      <c r="DD495" s="59"/>
      <c r="DE495" s="59"/>
      <c r="DF495" s="59"/>
      <c r="DG495" s="59">
        <v>0</v>
      </c>
      <c r="DH495" s="59">
        <v>0</v>
      </c>
      <c r="DI495" s="59">
        <v>0</v>
      </c>
      <c r="DJ495" s="59">
        <v>0</v>
      </c>
      <c r="DK495" s="59"/>
      <c r="DL495" s="59"/>
      <c r="DM495" s="59">
        <v>1</v>
      </c>
      <c r="DN495" s="59"/>
      <c r="DO495" s="59">
        <v>0</v>
      </c>
      <c r="DP495" s="59"/>
      <c r="DQ495" s="59"/>
      <c r="DR495" s="59"/>
      <c r="DS495" s="59">
        <v>3</v>
      </c>
      <c r="DT495" s="59">
        <v>1</v>
      </c>
      <c r="DU495" s="59">
        <v>0</v>
      </c>
      <c r="DV495" s="38">
        <f t="shared" si="220"/>
        <v>38</v>
      </c>
      <c r="DW495" s="14" t="str">
        <f t="shared" si="221"/>
        <v/>
      </c>
      <c r="DY495" s="369">
        <f t="shared" si="223"/>
        <v>38</v>
      </c>
    </row>
    <row r="496" spans="1:129" s="6" customFormat="1" ht="12" thickBot="1">
      <c r="A496" s="212" t="s">
        <v>198</v>
      </c>
      <c r="B496" s="83"/>
      <c r="C496" s="52">
        <f t="shared" ref="C496:X496" si="224">SUM(C472:C495)</f>
        <v>56</v>
      </c>
      <c r="D496" s="53">
        <f t="shared" si="224"/>
        <v>420</v>
      </c>
      <c r="E496" s="53">
        <f t="shared" si="224"/>
        <v>26</v>
      </c>
      <c r="F496" s="53">
        <f t="shared" si="224"/>
        <v>4</v>
      </c>
      <c r="G496" s="53">
        <f t="shared" si="224"/>
        <v>28</v>
      </c>
      <c r="H496" s="53">
        <f t="shared" si="224"/>
        <v>15</v>
      </c>
      <c r="I496" s="53">
        <f>SUM(I472:I495)</f>
        <v>0</v>
      </c>
      <c r="J496" s="53">
        <f t="shared" si="224"/>
        <v>225</v>
      </c>
      <c r="K496" s="53">
        <f t="shared" si="224"/>
        <v>13</v>
      </c>
      <c r="L496" s="53">
        <f t="shared" si="224"/>
        <v>3</v>
      </c>
      <c r="M496" s="53">
        <f t="shared" ref="M496:P496" si="225">SUM(M472:M495)</f>
        <v>0</v>
      </c>
      <c r="N496" s="53">
        <f t="shared" si="225"/>
        <v>0</v>
      </c>
      <c r="O496" s="53">
        <f>SUM(O472:O495)</f>
        <v>78</v>
      </c>
      <c r="P496" s="53">
        <f t="shared" si="225"/>
        <v>18</v>
      </c>
      <c r="Q496" s="53">
        <f t="shared" si="224"/>
        <v>3</v>
      </c>
      <c r="R496" s="53">
        <f t="shared" si="224"/>
        <v>18</v>
      </c>
      <c r="S496" s="55">
        <f t="shared" si="224"/>
        <v>907</v>
      </c>
      <c r="T496" s="53">
        <f t="shared" si="224"/>
        <v>0</v>
      </c>
      <c r="U496" s="53">
        <f t="shared" si="224"/>
        <v>380</v>
      </c>
      <c r="V496" s="53">
        <f t="shared" ref="V496" si="226">SUM(V472:V495)</f>
        <v>0</v>
      </c>
      <c r="W496" s="53">
        <f t="shared" si="224"/>
        <v>0</v>
      </c>
      <c r="X496" s="54">
        <f t="shared" si="224"/>
        <v>6</v>
      </c>
      <c r="Z496" s="52">
        <f>SUM(Z472:Z495)</f>
        <v>44065280</v>
      </c>
      <c r="AA496" s="53">
        <f>SUM(AA472:AA495)</f>
        <v>0</v>
      </c>
      <c r="AB496" s="53"/>
      <c r="AC496" s="52">
        <f>SUM(AC472:AC495)</f>
        <v>15991296</v>
      </c>
      <c r="AD496" s="53">
        <f>SUM(AD472:AD495)</f>
        <v>0</v>
      </c>
      <c r="AE496" s="55">
        <f>SUM(AE472:AE495)</f>
        <v>15991296</v>
      </c>
      <c r="AG496" s="52">
        <f>SUM(AG472:AG495)</f>
        <v>1547</v>
      </c>
      <c r="AH496" s="53">
        <f>SUM(AH472:AH495)</f>
        <v>1125</v>
      </c>
      <c r="AI496" s="53">
        <f>SUM(AI472:AI495)</f>
        <v>2946</v>
      </c>
      <c r="AJ496" s="54">
        <f>SUM(AJ472:AJ495)</f>
        <v>0</v>
      </c>
      <c r="AL496" s="52">
        <f t="shared" ref="AL496:AV496" si="227">SUM(AL472:AL495)</f>
        <v>0</v>
      </c>
      <c r="AM496" s="53">
        <f t="shared" si="227"/>
        <v>256</v>
      </c>
      <c r="AN496" s="55">
        <f t="shared" si="227"/>
        <v>256</v>
      </c>
      <c r="AO496" s="283"/>
      <c r="AP496" s="283"/>
      <c r="AQ496" s="284"/>
      <c r="AR496" s="53">
        <f t="shared" si="227"/>
        <v>3710</v>
      </c>
      <c r="AS496" s="53">
        <f t="shared" si="227"/>
        <v>1013</v>
      </c>
      <c r="AT496" s="53">
        <f t="shared" si="227"/>
        <v>1858</v>
      </c>
      <c r="AU496" s="53">
        <f t="shared" si="227"/>
        <v>441</v>
      </c>
      <c r="AV496" s="54">
        <f t="shared" si="227"/>
        <v>3650</v>
      </c>
      <c r="AX496" s="329"/>
      <c r="AY496" s="54"/>
      <c r="BA496" s="52">
        <f t="shared" ref="BA496:BM496" si="228">SUM(BA472:BA495)</f>
        <v>20949</v>
      </c>
      <c r="BB496" s="53">
        <f t="shared" si="228"/>
        <v>362534553</v>
      </c>
      <c r="BC496" s="53">
        <f t="shared" si="228"/>
        <v>0</v>
      </c>
      <c r="BD496" s="53"/>
      <c r="BE496" s="53">
        <f t="shared" si="228"/>
        <v>613</v>
      </c>
      <c r="BF496" s="53">
        <f t="shared" si="228"/>
        <v>53</v>
      </c>
      <c r="BG496" s="53">
        <f t="shared" si="228"/>
        <v>21</v>
      </c>
      <c r="BH496" s="55"/>
      <c r="BI496" s="53">
        <f t="shared" si="228"/>
        <v>17816997</v>
      </c>
      <c r="BJ496" s="339"/>
      <c r="BK496" s="339"/>
      <c r="BL496" s="304"/>
      <c r="BM496" s="54">
        <f t="shared" si="228"/>
        <v>0</v>
      </c>
      <c r="BO496" s="52">
        <f>SUM(BO472:BO495)</f>
        <v>0</v>
      </c>
      <c r="BP496" s="54">
        <f>SUM(BP472:BP495)</f>
        <v>1860</v>
      </c>
      <c r="BR496" s="81" t="s">
        <v>193</v>
      </c>
      <c r="BS496" s="80"/>
      <c r="BT496" s="82"/>
      <c r="BV496" s="52">
        <f>SUM(BV472:BV495)</f>
        <v>16</v>
      </c>
      <c r="BW496" s="53">
        <f>SUM(BW472:BW495)</f>
        <v>18</v>
      </c>
      <c r="BX496" s="53">
        <f t="shared" ref="BX496:DU496" si="229">SUM(BX472:BX495)</f>
        <v>30</v>
      </c>
      <c r="BY496" s="53">
        <f t="shared" si="229"/>
        <v>0</v>
      </c>
      <c r="BZ496" s="53">
        <f t="shared" si="229"/>
        <v>0</v>
      </c>
      <c r="CA496" s="53">
        <f t="shared" si="229"/>
        <v>0</v>
      </c>
      <c r="CB496" s="53">
        <f t="shared" si="229"/>
        <v>0</v>
      </c>
      <c r="CC496" s="53">
        <f t="shared" si="229"/>
        <v>0</v>
      </c>
      <c r="CD496" s="53">
        <f t="shared" si="229"/>
        <v>84</v>
      </c>
      <c r="CE496" s="53">
        <f t="shared" si="229"/>
        <v>0</v>
      </c>
      <c r="CF496" s="53">
        <f t="shared" si="229"/>
        <v>3</v>
      </c>
      <c r="CG496" s="53">
        <f t="shared" si="229"/>
        <v>3</v>
      </c>
      <c r="CH496" s="53">
        <f t="shared" si="229"/>
        <v>0</v>
      </c>
      <c r="CI496" s="53">
        <f t="shared" si="229"/>
        <v>56</v>
      </c>
      <c r="CJ496" s="53">
        <f t="shared" si="229"/>
        <v>124</v>
      </c>
      <c r="CK496" s="53">
        <f t="shared" si="229"/>
        <v>0</v>
      </c>
      <c r="CL496" s="53">
        <f t="shared" si="229"/>
        <v>0</v>
      </c>
      <c r="CM496" s="53">
        <f t="shared" si="229"/>
        <v>5</v>
      </c>
      <c r="CN496" s="53">
        <f t="shared" si="229"/>
        <v>0</v>
      </c>
      <c r="CO496" s="53">
        <f t="shared" si="229"/>
        <v>71</v>
      </c>
      <c r="CP496" s="53">
        <f t="shared" si="229"/>
        <v>0</v>
      </c>
      <c r="CQ496" s="53">
        <f t="shared" si="229"/>
        <v>0</v>
      </c>
      <c r="CR496" s="53">
        <f t="shared" si="229"/>
        <v>0</v>
      </c>
      <c r="CS496" s="53">
        <f t="shared" si="229"/>
        <v>14</v>
      </c>
      <c r="CT496" s="53">
        <f t="shared" si="229"/>
        <v>61</v>
      </c>
      <c r="CU496" s="53">
        <f t="shared" si="229"/>
        <v>0</v>
      </c>
      <c r="CV496" s="53">
        <f t="shared" si="229"/>
        <v>58</v>
      </c>
      <c r="CW496" s="53">
        <f t="shared" si="229"/>
        <v>0</v>
      </c>
      <c r="CX496" s="53">
        <f t="shared" si="229"/>
        <v>0</v>
      </c>
      <c r="CY496" s="53">
        <f t="shared" si="229"/>
        <v>16</v>
      </c>
      <c r="CZ496" s="53">
        <f t="shared" si="229"/>
        <v>0</v>
      </c>
      <c r="DA496" s="53">
        <f t="shared" si="229"/>
        <v>0</v>
      </c>
      <c r="DB496" s="53">
        <f t="shared" si="229"/>
        <v>105</v>
      </c>
      <c r="DC496" s="53">
        <f t="shared" si="229"/>
        <v>0</v>
      </c>
      <c r="DD496" s="53">
        <f t="shared" si="229"/>
        <v>0</v>
      </c>
      <c r="DE496" s="53">
        <f t="shared" si="229"/>
        <v>0</v>
      </c>
      <c r="DF496" s="53">
        <f t="shared" si="229"/>
        <v>0</v>
      </c>
      <c r="DG496" s="53">
        <f t="shared" si="229"/>
        <v>26</v>
      </c>
      <c r="DH496" s="53">
        <f t="shared" si="229"/>
        <v>21</v>
      </c>
      <c r="DI496" s="53">
        <f t="shared" si="229"/>
        <v>8</v>
      </c>
      <c r="DJ496" s="53">
        <f t="shared" si="229"/>
        <v>3</v>
      </c>
      <c r="DK496" s="53">
        <f t="shared" si="229"/>
        <v>0</v>
      </c>
      <c r="DL496" s="53">
        <f t="shared" si="229"/>
        <v>0</v>
      </c>
      <c r="DM496" s="53">
        <f t="shared" si="229"/>
        <v>71</v>
      </c>
      <c r="DN496" s="53">
        <f t="shared" si="229"/>
        <v>0</v>
      </c>
      <c r="DO496" s="53">
        <f t="shared" si="229"/>
        <v>15</v>
      </c>
      <c r="DP496" s="53">
        <f t="shared" si="229"/>
        <v>0</v>
      </c>
      <c r="DQ496" s="53">
        <f t="shared" si="229"/>
        <v>0</v>
      </c>
      <c r="DR496" s="53">
        <f t="shared" si="229"/>
        <v>0</v>
      </c>
      <c r="DS496" s="53">
        <f t="shared" si="229"/>
        <v>34</v>
      </c>
      <c r="DT496" s="53">
        <f t="shared" si="229"/>
        <v>47</v>
      </c>
      <c r="DU496" s="53">
        <f t="shared" si="229"/>
        <v>18</v>
      </c>
      <c r="DV496" s="54">
        <f t="shared" si="220"/>
        <v>907</v>
      </c>
      <c r="DW496" s="48"/>
      <c r="DY496" s="6">
        <f>SUM(DY472:DY495)</f>
        <v>907</v>
      </c>
    </row>
    <row r="497" spans="1:129" s="6" customFormat="1" ht="12" thickTop="1">
      <c r="A497" s="213" t="s">
        <v>195</v>
      </c>
      <c r="B497" s="24"/>
      <c r="C497" s="39">
        <f t="shared" ref="C497:R497" si="230">ROUND(IF(ISERROR(AVERAGE(C472:C495)),0,AVERAGE(C472:C495)),0)</f>
        <v>2</v>
      </c>
      <c r="D497" s="24">
        <f t="shared" si="230"/>
        <v>18</v>
      </c>
      <c r="E497" s="24">
        <f t="shared" si="230"/>
        <v>1</v>
      </c>
      <c r="F497" s="24">
        <f t="shared" si="230"/>
        <v>0</v>
      </c>
      <c r="G497" s="24">
        <f t="shared" si="230"/>
        <v>1</v>
      </c>
      <c r="H497" s="24">
        <f t="shared" si="230"/>
        <v>1</v>
      </c>
      <c r="I497" s="24">
        <f>ROUND(IF(ISERROR(AVERAGE(I472:I495)),0,AVERAGE(I472:I495)),0)</f>
        <v>0</v>
      </c>
      <c r="J497" s="24">
        <f t="shared" si="230"/>
        <v>9</v>
      </c>
      <c r="K497" s="24">
        <f t="shared" si="230"/>
        <v>1</v>
      </c>
      <c r="L497" s="24">
        <f t="shared" si="230"/>
        <v>0</v>
      </c>
      <c r="M497" s="24">
        <f t="shared" ref="M497:P497" si="231">ROUND(IF(ISERROR(AVERAGE(M472:M495)),0,AVERAGE(M472:M495)),0)</f>
        <v>0</v>
      </c>
      <c r="N497" s="24">
        <f t="shared" si="231"/>
        <v>0</v>
      </c>
      <c r="O497" s="24">
        <f>ROUND(IF(ISERROR(AVERAGE(O472:O495)),0,AVERAGE(O472:O495)),0)</f>
        <v>3</v>
      </c>
      <c r="P497" s="24">
        <f t="shared" si="231"/>
        <v>1</v>
      </c>
      <c r="Q497" s="24">
        <f t="shared" si="230"/>
        <v>0</v>
      </c>
      <c r="R497" s="24">
        <f t="shared" si="230"/>
        <v>1</v>
      </c>
      <c r="S497" s="31">
        <f>SUM(C497:R497)</f>
        <v>38</v>
      </c>
      <c r="T497" s="24">
        <f>ROUND(IF(ISERROR(AVERAGE(T472:T495)),0,AVERAGE(T472:T495)),0)</f>
        <v>0</v>
      </c>
      <c r="U497" s="24">
        <f>ROUND(IF(ISERROR(AVERAGE(U472:U495)),0,AVERAGE(U472:U495)),0)</f>
        <v>16</v>
      </c>
      <c r="V497" s="24">
        <f>ROUND(IF(ISERROR(AVERAGE(V472:V495)),0,AVERAGE(V472:V495)),0)</f>
        <v>0</v>
      </c>
      <c r="W497" s="24">
        <f>ROUND(IF(ISERROR(AVERAGE(W472:W495)),0,AVERAGE(W472:W495)),0)</f>
        <v>0</v>
      </c>
      <c r="X497" s="40">
        <f>ROUND(IF(ISERROR(AVERAGE(X472:X495)),0,AVERAGE(X472:X495)),0)</f>
        <v>0</v>
      </c>
      <c r="Z497" s="39">
        <f>ROUND(IF(ISERROR(AVERAGE(Z472:Z495)),0,AVERAGE(Z472:Z495)),0)</f>
        <v>1836053</v>
      </c>
      <c r="AA497" s="24">
        <f>ROUND(IF(ISERROR(AVERAGE(AA472:AA495)),0,AVERAGE(AA472:AA495)),0)</f>
        <v>0</v>
      </c>
      <c r="AB497" s="24"/>
      <c r="AC497" s="39">
        <f>ROUND(IF(ISERROR(AVERAGE(AC472:AC495)),0,AVERAGE(AC472:AC495)),0)</f>
        <v>666304</v>
      </c>
      <c r="AD497" s="24">
        <f>ROUND(IF(ISERROR(AVERAGE(AD472:AD495)),0,AVERAGE(AD472:AD495)),0)</f>
        <v>0</v>
      </c>
      <c r="AE497" s="31">
        <f>SUM(AC497:AD497)</f>
        <v>666304</v>
      </c>
      <c r="AG497" s="39">
        <f>ROUND(IF(ISERROR(AVERAGE(AG472:AG495)),0,AVERAGE(AG472:AG495)),0)</f>
        <v>64</v>
      </c>
      <c r="AH497" s="24">
        <f>ROUND(IF(ISERROR(AVERAGE(AH472:AH495)),0,AVERAGE(AH472:AH495)),0)</f>
        <v>47</v>
      </c>
      <c r="AI497" s="24">
        <f>ROUND(IF(ISERROR(AVERAGE(AI472:AI495)),0,AVERAGE(AI472:AI495)),0)</f>
        <v>123</v>
      </c>
      <c r="AJ497" s="40">
        <f>ROUND(IF(ISERROR(AVERAGE(AJ472:AJ495)),0,AVERAGE(AJ472:AJ495)),0)</f>
        <v>0</v>
      </c>
      <c r="AL497" s="39">
        <f>ROUND(IF(ISERROR(AVERAGE(AL472:AL495)),0,AVERAGE(AL472:AL495)),0)</f>
        <v>0</v>
      </c>
      <c r="AM497" s="24">
        <f>ROUND(IF(ISERROR(AVERAGE(AM472:AM495)),0,AVERAGE(AM472:AM495)),0)</f>
        <v>64</v>
      </c>
      <c r="AN497" s="31">
        <f>SUM(AL497:AM497)</f>
        <v>64</v>
      </c>
      <c r="AO497" s="285"/>
      <c r="AP497" s="285"/>
      <c r="AQ497" s="281"/>
      <c r="AR497" s="24">
        <f>ROUND(IF(ISERROR(AVERAGE(AR472:AR495)),0,AVERAGE(AR472:AR495)),0)</f>
        <v>155</v>
      </c>
      <c r="AS497" s="24">
        <f>ROUND(IF(ISERROR(AVERAGE(AS472:AS495)),0,AVERAGE(AS472:AS495)),0)</f>
        <v>46</v>
      </c>
      <c r="AT497" s="24">
        <f>ROUND(IF(ISERROR(AVERAGE(AT472:AT495)),0,AVERAGE(AT472:AT495)),0)</f>
        <v>84</v>
      </c>
      <c r="AU497" s="24">
        <f>ROUND(IF(ISERROR(AVERAGE(AU472:AU495)),0,AVERAGE(AU472:AU495)),0)</f>
        <v>20</v>
      </c>
      <c r="AV497" s="40">
        <f>ROUND(IF(ISERROR(AVERAGE(AV472:AV495)),0,AVERAGE(AV472:AV495)),0)</f>
        <v>166</v>
      </c>
      <c r="AX497" s="330"/>
      <c r="AY497" s="40">
        <f>ROUND(IF(ISERROR(AVERAGE(AY472:AY495)),0,AVERAGE(AY472:AY495)),0)</f>
        <v>-2</v>
      </c>
      <c r="BA497" s="39">
        <f t="shared" ref="BA497:BM497" si="232">ROUND(IF(ISERROR(AVERAGE(BA472:BA495)),0,AVERAGE(BA472:BA495)),0)</f>
        <v>1746</v>
      </c>
      <c r="BB497" s="24">
        <f t="shared" si="232"/>
        <v>30211213</v>
      </c>
      <c r="BC497" s="24">
        <f t="shared" si="232"/>
        <v>0</v>
      </c>
      <c r="BD497" s="24"/>
      <c r="BE497" s="24">
        <f t="shared" si="232"/>
        <v>51</v>
      </c>
      <c r="BF497" s="24">
        <f t="shared" si="232"/>
        <v>4</v>
      </c>
      <c r="BG497" s="24">
        <f t="shared" si="232"/>
        <v>2</v>
      </c>
      <c r="BH497" s="31"/>
      <c r="BI497" s="24">
        <f t="shared" si="232"/>
        <v>1484750</v>
      </c>
      <c r="BJ497" s="340"/>
      <c r="BK497" s="340"/>
      <c r="BL497" s="305">
        <f>AVERAGE(BL472:BL495)</f>
        <v>85.5</v>
      </c>
      <c r="BM497" s="40">
        <f t="shared" si="232"/>
        <v>0</v>
      </c>
      <c r="BO497" s="39">
        <f>ROUND(IF(ISERROR(AVERAGE(BO472:BO495)),0,AVERAGE(BO472:BO495)),0)</f>
        <v>0</v>
      </c>
      <c r="BP497" s="40">
        <f>ROUND(IF(ISERROR(AVERAGE(BP472:BP495)),0,AVERAGE(BP472:BP495)),0)</f>
        <v>155</v>
      </c>
      <c r="BR497" s="65" t="s">
        <v>194</v>
      </c>
      <c r="BS497" s="19"/>
      <c r="BT497" s="14"/>
      <c r="BV497" s="39">
        <f>ROUND(IF(ISERROR(AVERAGE(BV472:BV495)),0,AVERAGE(BV472:BV495)),0)</f>
        <v>1</v>
      </c>
      <c r="BW497" s="24">
        <f>ROUND(IF(ISERROR(AVERAGE(BW472:BW495)),0,AVERAGE(BW472:BW495)),0)</f>
        <v>1</v>
      </c>
      <c r="BX497" s="24">
        <f t="shared" ref="BX497:DU497" si="233">ROUND(IF(ISERROR(AVERAGE(BX472:BX495)),0,AVERAGE(BX472:BX495)),0)</f>
        <v>1</v>
      </c>
      <c r="BY497" s="24">
        <f t="shared" si="233"/>
        <v>0</v>
      </c>
      <c r="BZ497" s="24">
        <f t="shared" si="233"/>
        <v>0</v>
      </c>
      <c r="CA497" s="24">
        <f t="shared" si="233"/>
        <v>0</v>
      </c>
      <c r="CB497" s="24">
        <f t="shared" si="233"/>
        <v>0</v>
      </c>
      <c r="CC497" s="24">
        <f t="shared" si="233"/>
        <v>0</v>
      </c>
      <c r="CD497" s="24">
        <f t="shared" si="233"/>
        <v>4</v>
      </c>
      <c r="CE497" s="24">
        <f t="shared" si="233"/>
        <v>0</v>
      </c>
      <c r="CF497" s="24">
        <f t="shared" si="233"/>
        <v>0</v>
      </c>
      <c r="CG497" s="24">
        <f t="shared" si="233"/>
        <v>0</v>
      </c>
      <c r="CH497" s="24">
        <f t="shared" si="233"/>
        <v>0</v>
      </c>
      <c r="CI497" s="24">
        <f t="shared" si="233"/>
        <v>2</v>
      </c>
      <c r="CJ497" s="24">
        <f t="shared" si="233"/>
        <v>5</v>
      </c>
      <c r="CK497" s="24">
        <f t="shared" si="233"/>
        <v>0</v>
      </c>
      <c r="CL497" s="24">
        <f t="shared" si="233"/>
        <v>0</v>
      </c>
      <c r="CM497" s="24">
        <f t="shared" si="233"/>
        <v>0</v>
      </c>
      <c r="CN497" s="24">
        <f t="shared" si="233"/>
        <v>0</v>
      </c>
      <c r="CO497" s="24">
        <f t="shared" si="233"/>
        <v>3</v>
      </c>
      <c r="CP497" s="24">
        <f t="shared" si="233"/>
        <v>0</v>
      </c>
      <c r="CQ497" s="24">
        <f t="shared" si="233"/>
        <v>0</v>
      </c>
      <c r="CR497" s="24">
        <f t="shared" si="233"/>
        <v>0</v>
      </c>
      <c r="CS497" s="24">
        <f t="shared" si="233"/>
        <v>1</v>
      </c>
      <c r="CT497" s="24">
        <f t="shared" si="233"/>
        <v>3</v>
      </c>
      <c r="CU497" s="24">
        <f t="shared" si="233"/>
        <v>0</v>
      </c>
      <c r="CV497" s="24">
        <f t="shared" si="233"/>
        <v>2</v>
      </c>
      <c r="CW497" s="24">
        <f t="shared" si="233"/>
        <v>0</v>
      </c>
      <c r="CX497" s="24">
        <f t="shared" si="233"/>
        <v>0</v>
      </c>
      <c r="CY497" s="24">
        <f t="shared" si="233"/>
        <v>1</v>
      </c>
      <c r="CZ497" s="24">
        <f t="shared" si="233"/>
        <v>0</v>
      </c>
      <c r="DA497" s="24">
        <f t="shared" si="233"/>
        <v>0</v>
      </c>
      <c r="DB497" s="24">
        <f t="shared" si="233"/>
        <v>4</v>
      </c>
      <c r="DC497" s="24">
        <f t="shared" si="233"/>
        <v>0</v>
      </c>
      <c r="DD497" s="24">
        <f t="shared" si="233"/>
        <v>0</v>
      </c>
      <c r="DE497" s="24">
        <f t="shared" si="233"/>
        <v>0</v>
      </c>
      <c r="DF497" s="24">
        <f t="shared" si="233"/>
        <v>0</v>
      </c>
      <c r="DG497" s="24">
        <f t="shared" si="233"/>
        <v>1</v>
      </c>
      <c r="DH497" s="24">
        <f t="shared" si="233"/>
        <v>1</v>
      </c>
      <c r="DI497" s="24">
        <f t="shared" si="233"/>
        <v>0</v>
      </c>
      <c r="DJ497" s="24">
        <f t="shared" si="233"/>
        <v>0</v>
      </c>
      <c r="DK497" s="24">
        <f t="shared" si="233"/>
        <v>0</v>
      </c>
      <c r="DL497" s="24">
        <f t="shared" si="233"/>
        <v>0</v>
      </c>
      <c r="DM497" s="24">
        <f t="shared" si="233"/>
        <v>3</v>
      </c>
      <c r="DN497" s="24">
        <f t="shared" si="233"/>
        <v>0</v>
      </c>
      <c r="DO497" s="24">
        <f t="shared" si="233"/>
        <v>1</v>
      </c>
      <c r="DP497" s="24">
        <f t="shared" si="233"/>
        <v>0</v>
      </c>
      <c r="DQ497" s="24">
        <f t="shared" si="233"/>
        <v>0</v>
      </c>
      <c r="DR497" s="24">
        <f t="shared" si="233"/>
        <v>0</v>
      </c>
      <c r="DS497" s="24">
        <f t="shared" si="233"/>
        <v>1</v>
      </c>
      <c r="DT497" s="24">
        <f t="shared" si="233"/>
        <v>2</v>
      </c>
      <c r="DU497" s="24">
        <f t="shared" si="233"/>
        <v>1</v>
      </c>
      <c r="DV497" s="18"/>
      <c r="DW497" s="48"/>
    </row>
    <row r="498" spans="1:129" customFormat="1">
      <c r="A498" s="210" t="s">
        <v>196</v>
      </c>
      <c r="B498" s="211"/>
      <c r="C498" s="8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30">
        <f>MEDIAN(S472:S495)</f>
        <v>35.5</v>
      </c>
      <c r="T498" s="10"/>
      <c r="U498" s="10"/>
      <c r="V498" s="10"/>
      <c r="W498" s="10"/>
      <c r="X498" s="5"/>
      <c r="Y498" s="10"/>
      <c r="Z498" s="8"/>
      <c r="AA498" s="10" t="str">
        <f>IF(ISERROR(MEDIAN(AA472:AA495)),"",MEDIAN(AA472:AA495))</f>
        <v/>
      </c>
      <c r="AB498" s="10"/>
      <c r="AC498" s="8"/>
      <c r="AD498" s="10"/>
      <c r="AE498" s="30"/>
      <c r="AF498" s="10"/>
      <c r="AG498" s="8"/>
      <c r="AH498" s="10"/>
      <c r="AI498" s="10">
        <f>IF(ISERROR(MEDIAN(AI472:AI495)),"",MEDIAN(AI472:AI495))</f>
        <v>128</v>
      </c>
      <c r="AJ498" s="5" t="str">
        <f>IF(ISERROR(MEDIAN(AJ472:AJ495)),"",MEDIAN(AJ472:AJ495))</f>
        <v/>
      </c>
      <c r="AK498" s="10"/>
      <c r="AL498" s="8"/>
      <c r="AM498" s="10"/>
      <c r="AN498" s="30"/>
      <c r="AO498" s="10"/>
      <c r="AP498" s="10"/>
      <c r="AQ498" s="30"/>
      <c r="AR498" s="10"/>
      <c r="AS498" s="10"/>
      <c r="AT498" s="10"/>
      <c r="AU498" s="10"/>
      <c r="AV498" s="5"/>
      <c r="AW498" s="10"/>
      <c r="AX498" s="326"/>
      <c r="AY498" s="5"/>
      <c r="AZ498" s="10"/>
      <c r="BA498" s="8">
        <f>IF(ISERROR(MEDIAN(BA472:BA495)),"",MEDIAN(BA472:BA495))</f>
        <v>1743.5</v>
      </c>
      <c r="BB498" s="10"/>
      <c r="BC498" s="10"/>
      <c r="BD498" s="10"/>
      <c r="BE498" s="10"/>
      <c r="BF498" s="10"/>
      <c r="BG498" s="10"/>
      <c r="BH498" s="30"/>
      <c r="BI498" s="10"/>
      <c r="BJ498" s="338"/>
      <c r="BK498" s="338"/>
      <c r="BL498" s="303"/>
      <c r="BM498" s="5"/>
      <c r="BN498" s="10"/>
      <c r="BO498" s="8"/>
      <c r="BP498" s="5"/>
      <c r="BQ498" s="10"/>
      <c r="BR498" s="65"/>
      <c r="BS498" s="19"/>
      <c r="BT498" s="14"/>
      <c r="BU498" s="10"/>
      <c r="BV498" s="8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  <c r="DJ498" s="10"/>
      <c r="DK498" s="10"/>
      <c r="DL498" s="10"/>
      <c r="DM498" s="10"/>
      <c r="DN498" s="10"/>
      <c r="DO498" s="10"/>
      <c r="DP498" s="10"/>
      <c r="DQ498" s="10"/>
      <c r="DR498" s="10"/>
      <c r="DS498" s="10"/>
      <c r="DT498" s="10"/>
      <c r="DU498" s="10"/>
      <c r="DV498" s="5"/>
      <c r="DW498" s="21"/>
    </row>
    <row r="499" spans="1:129" customFormat="1" ht="12" thickBot="1">
      <c r="A499" s="214" t="s">
        <v>197</v>
      </c>
      <c r="B499" s="195"/>
      <c r="C499" s="41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32">
        <f>MODE(S472:S495)</f>
        <v>51</v>
      </c>
      <c r="T499" s="22"/>
      <c r="U499" s="22"/>
      <c r="V499" s="22"/>
      <c r="W499" s="22"/>
      <c r="X499" s="42"/>
      <c r="Y499" s="22"/>
      <c r="Z499" s="41"/>
      <c r="AA499" s="22"/>
      <c r="AB499" s="22"/>
      <c r="AC499" s="41"/>
      <c r="AD499" s="22"/>
      <c r="AE499" s="32"/>
      <c r="AF499" s="22"/>
      <c r="AG499" s="41"/>
      <c r="AH499" s="22"/>
      <c r="AI499" s="22">
        <f>IF(ISERROR(MODE(AI472:AI495)),"",MODE(AI472:AI495))</f>
        <v>130</v>
      </c>
      <c r="AJ499" s="42" t="str">
        <f>IF(ISERROR(MODE(AJ472:AJ495)),"",MODE(AJ472:AJ495))</f>
        <v/>
      </c>
      <c r="AK499" s="22"/>
      <c r="AL499" s="41"/>
      <c r="AM499" s="22"/>
      <c r="AN499" s="32"/>
      <c r="AO499" s="22"/>
      <c r="AP499" s="22"/>
      <c r="AQ499" s="32"/>
      <c r="AR499" s="22"/>
      <c r="AS499" s="22"/>
      <c r="AT499" s="22"/>
      <c r="AU499" s="22"/>
      <c r="AV499" s="42"/>
      <c r="AW499" s="22"/>
      <c r="AX499" s="331"/>
      <c r="AY499" s="42"/>
      <c r="AZ499" s="22"/>
      <c r="BA499" s="41"/>
      <c r="BB499" s="22"/>
      <c r="BC499" s="22"/>
      <c r="BD499" s="22"/>
      <c r="BE499" s="22"/>
      <c r="BF499" s="22"/>
      <c r="BG499" s="22"/>
      <c r="BH499" s="32"/>
      <c r="BI499" s="22"/>
      <c r="BJ499" s="341"/>
      <c r="BK499" s="341"/>
      <c r="BL499" s="306"/>
      <c r="BM499" s="42"/>
      <c r="BN499" s="22"/>
      <c r="BO499" s="41"/>
      <c r="BP499" s="42"/>
      <c r="BQ499" s="22"/>
      <c r="BR499" s="66"/>
      <c r="BS499" s="51"/>
      <c r="BT499" s="67"/>
      <c r="BU499" s="22"/>
      <c r="BV499" s="41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2"/>
      <c r="CP499" s="22"/>
      <c r="CQ499" s="22"/>
      <c r="CR499" s="22"/>
      <c r="CS499" s="22"/>
      <c r="CT499" s="22"/>
      <c r="CU499" s="22"/>
      <c r="CV499" s="22"/>
      <c r="CW499" s="22"/>
      <c r="CX499" s="22"/>
      <c r="CY499" s="22"/>
      <c r="CZ499" s="22"/>
      <c r="DA499" s="22"/>
      <c r="DB499" s="22"/>
      <c r="DC499" s="22"/>
      <c r="DD499" s="22"/>
      <c r="DE499" s="22"/>
      <c r="DF499" s="22"/>
      <c r="DG499" s="22"/>
      <c r="DH499" s="22"/>
      <c r="DI499" s="22"/>
      <c r="DJ499" s="22"/>
      <c r="DK499" s="22"/>
      <c r="DL499" s="22"/>
      <c r="DM499" s="22"/>
      <c r="DN499" s="22"/>
      <c r="DO499" s="22"/>
      <c r="DP499" s="22"/>
      <c r="DQ499" s="22"/>
      <c r="DR499" s="22"/>
      <c r="DS499" s="22"/>
      <c r="DT499" s="22"/>
      <c r="DU499" s="22"/>
      <c r="DV499" s="42"/>
      <c r="DW499" s="23"/>
    </row>
    <row r="500" spans="1:129" customFormat="1">
      <c r="A500" s="194" t="s">
        <v>182</v>
      </c>
      <c r="B500" s="194"/>
      <c r="C500" s="8">
        <f>COUNTA(C472:C495)</f>
        <v>24</v>
      </c>
      <c r="D500" s="10"/>
      <c r="E500" s="10"/>
      <c r="F500" s="10">
        <f>SUM(C496:F496)</f>
        <v>506</v>
      </c>
      <c r="G500" s="98">
        <f>G496/F500</f>
        <v>5.533596837944664E-2</v>
      </c>
      <c r="H500" s="104">
        <f>H496/S496</f>
        <v>1.6538037486218304E-2</v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30"/>
      <c r="T500" s="10"/>
      <c r="U500" s="98">
        <f>U496/S496</f>
        <v>0.41896361631753032</v>
      </c>
      <c r="V500" s="98">
        <f>V496/S496</f>
        <v>0</v>
      </c>
      <c r="W500" s="276">
        <f>W496/S496</f>
        <v>0</v>
      </c>
      <c r="X500" s="276">
        <f>X496/S496</f>
        <v>6.615214994487321E-3</v>
      </c>
      <c r="Y500" s="10"/>
      <c r="Z500" s="8"/>
      <c r="AA500" s="10"/>
      <c r="AB500" s="10"/>
      <c r="AC500" s="8"/>
      <c r="AD500" s="10"/>
      <c r="AE500" s="30"/>
      <c r="AF500" s="10"/>
      <c r="AG500" s="8"/>
      <c r="AH500" s="10"/>
      <c r="AI500" s="10"/>
      <c r="AJ500" s="5"/>
      <c r="AK500" s="10"/>
      <c r="AL500" s="8"/>
      <c r="AM500" s="10"/>
      <c r="AN500" s="30"/>
      <c r="AO500" s="10"/>
      <c r="AP500" s="10"/>
      <c r="AQ500" s="30"/>
      <c r="AR500" s="10"/>
      <c r="AS500" s="10"/>
      <c r="AT500" s="10"/>
      <c r="AU500" s="10"/>
      <c r="AV500" s="5"/>
      <c r="AW500" s="10"/>
      <c r="AX500" s="326"/>
      <c r="AY500" s="5"/>
      <c r="AZ500" s="10"/>
      <c r="BA500" s="8"/>
      <c r="BB500" s="10"/>
      <c r="BC500" s="10"/>
      <c r="BD500" s="10"/>
      <c r="BE500" s="10"/>
      <c r="BF500" s="10"/>
      <c r="BG500" s="10"/>
      <c r="BH500" s="30"/>
      <c r="BI500" s="10"/>
      <c r="BJ500" s="338"/>
      <c r="BK500" s="338"/>
      <c r="BL500" s="303"/>
      <c r="BM500" s="5"/>
      <c r="BN500" s="10"/>
      <c r="BO500" s="8"/>
      <c r="BP500" s="5"/>
      <c r="BQ500" s="10"/>
      <c r="BR500" s="65"/>
      <c r="BS500" s="19"/>
      <c r="BT500" s="14"/>
      <c r="BU500" s="10"/>
      <c r="BV500" s="8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  <c r="DF500" s="10"/>
      <c r="DG500" s="10"/>
      <c r="DH500" s="10"/>
      <c r="DI500" s="10"/>
      <c r="DJ500" s="10"/>
      <c r="DK500" s="10"/>
      <c r="DL500" s="10"/>
      <c r="DM500" s="10"/>
      <c r="DN500" s="10"/>
      <c r="DO500" s="10"/>
      <c r="DP500" s="10"/>
      <c r="DQ500" s="10"/>
      <c r="DR500" s="10"/>
      <c r="DS500" s="10"/>
      <c r="DT500" s="10"/>
      <c r="DU500" s="10"/>
      <c r="DV500" s="5"/>
      <c r="DW500" s="10"/>
    </row>
    <row r="501" spans="1:129" customFormat="1">
      <c r="A501" s="194"/>
      <c r="B501" s="194"/>
      <c r="C501" s="8"/>
      <c r="D501" s="10"/>
      <c r="E501" s="10"/>
      <c r="F501" s="10"/>
      <c r="G501" s="10"/>
      <c r="H501" s="98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30"/>
      <c r="T501" s="10"/>
      <c r="U501" s="1"/>
      <c r="V501" s="1"/>
      <c r="W501" s="10"/>
      <c r="X501" s="5"/>
      <c r="Y501" s="10"/>
      <c r="Z501" s="8"/>
      <c r="AA501" s="10"/>
      <c r="AB501" s="10"/>
      <c r="AC501" s="8"/>
      <c r="AD501" s="10"/>
      <c r="AE501" s="30"/>
      <c r="AF501" s="10"/>
      <c r="AG501" s="8"/>
      <c r="AH501" s="10"/>
      <c r="AI501" s="10"/>
      <c r="AJ501" s="5"/>
      <c r="AK501" s="10"/>
      <c r="AL501" s="8"/>
      <c r="AM501" s="10"/>
      <c r="AN501" s="30"/>
      <c r="AO501" s="10"/>
      <c r="AP501" s="10"/>
      <c r="AQ501" s="30"/>
      <c r="AR501" s="10"/>
      <c r="AS501" s="10"/>
      <c r="AT501" s="10"/>
      <c r="AU501" s="10"/>
      <c r="AV501" s="5"/>
      <c r="AW501" s="10"/>
      <c r="AX501" s="326"/>
      <c r="AY501" s="5"/>
      <c r="AZ501" s="10"/>
      <c r="BA501" s="8"/>
      <c r="BB501" s="10"/>
      <c r="BC501" s="10"/>
      <c r="BD501" s="10"/>
      <c r="BE501" s="10"/>
      <c r="BF501" s="10"/>
      <c r="BG501" s="10"/>
      <c r="BH501" s="30"/>
      <c r="BI501" s="10"/>
      <c r="BJ501" s="338"/>
      <c r="BK501" s="338"/>
      <c r="BL501" s="303"/>
      <c r="BM501" s="5"/>
      <c r="BN501" s="10"/>
      <c r="BO501" s="8"/>
      <c r="BP501" s="5"/>
      <c r="BQ501" s="10"/>
      <c r="BR501" s="65"/>
      <c r="BS501" s="19"/>
      <c r="BT501" s="14"/>
      <c r="BU501" s="10"/>
      <c r="BV501" s="8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  <c r="DF501" s="10"/>
      <c r="DG501" s="10"/>
      <c r="DH501" s="10"/>
      <c r="DI501" s="10"/>
      <c r="DJ501" s="10"/>
      <c r="DK501" s="10"/>
      <c r="DL501" s="10"/>
      <c r="DM501" s="10"/>
      <c r="DN501" s="10"/>
      <c r="DO501" s="10"/>
      <c r="DP501" s="10"/>
      <c r="DQ501" s="10"/>
      <c r="DR501" s="10"/>
      <c r="DS501" s="10"/>
      <c r="DT501" s="10"/>
      <c r="DU501" s="10"/>
      <c r="DV501" s="5"/>
      <c r="DW501" s="10"/>
    </row>
    <row r="502" spans="1:129" customFormat="1" ht="12" thickBot="1">
      <c r="A502" s="194"/>
      <c r="B502" s="194"/>
      <c r="C502" s="8"/>
      <c r="D502" s="10"/>
      <c r="E502" s="10"/>
      <c r="F502" s="10"/>
      <c r="G502" s="10"/>
      <c r="H502" s="98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30"/>
      <c r="T502" s="10"/>
      <c r="U502" s="1"/>
      <c r="V502" s="1"/>
      <c r="W502" s="10"/>
      <c r="X502" s="5"/>
      <c r="Y502" s="10"/>
      <c r="Z502" s="8"/>
      <c r="AA502" s="10"/>
      <c r="AB502" s="10"/>
      <c r="AC502" s="8"/>
      <c r="AD502" s="10"/>
      <c r="AE502" s="30"/>
      <c r="AF502" s="10"/>
      <c r="AG502" s="8"/>
      <c r="AH502" s="10"/>
      <c r="AI502" s="10"/>
      <c r="AJ502" s="5"/>
      <c r="AK502" s="10"/>
      <c r="AL502" s="8"/>
      <c r="AM502" s="10"/>
      <c r="AN502" s="30"/>
      <c r="AO502" s="10"/>
      <c r="AP502" s="10"/>
      <c r="AQ502" s="30"/>
      <c r="AR502" s="10"/>
      <c r="AS502" s="10"/>
      <c r="AT502" s="10"/>
      <c r="AU502" s="10"/>
      <c r="AV502" s="5"/>
      <c r="AW502" s="10"/>
      <c r="AX502" s="326"/>
      <c r="AY502" s="5"/>
      <c r="AZ502" s="10"/>
      <c r="BA502" s="8"/>
      <c r="BB502" s="10"/>
      <c r="BC502" s="10"/>
      <c r="BD502" s="10"/>
      <c r="BE502" s="10"/>
      <c r="BF502" s="10"/>
      <c r="BG502" s="10"/>
      <c r="BH502" s="30"/>
      <c r="BI502" s="10"/>
      <c r="BJ502" s="338"/>
      <c r="BK502" s="338"/>
      <c r="BL502" s="303"/>
      <c r="BM502" s="5"/>
      <c r="BN502" s="10"/>
      <c r="BO502" s="8"/>
      <c r="BP502" s="5"/>
      <c r="BQ502" s="10"/>
      <c r="BR502" s="65"/>
      <c r="BS502" s="19"/>
      <c r="BT502" s="14"/>
      <c r="BU502" s="10"/>
      <c r="BV502" s="8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  <c r="DF502" s="10"/>
      <c r="DG502" s="10"/>
      <c r="DH502" s="10"/>
      <c r="DI502" s="10"/>
      <c r="DJ502" s="10"/>
      <c r="DK502" s="10"/>
      <c r="DL502" s="10"/>
      <c r="DM502" s="10"/>
      <c r="DN502" s="10"/>
      <c r="DO502" s="10"/>
      <c r="DP502" s="10"/>
      <c r="DQ502" s="10"/>
      <c r="DR502" s="10"/>
      <c r="DS502" s="10"/>
      <c r="DT502" s="10"/>
      <c r="DU502" s="10"/>
      <c r="DV502" s="5"/>
      <c r="DW502" s="10"/>
    </row>
    <row r="503" spans="1:129" customFormat="1">
      <c r="A503" s="208">
        <v>38169</v>
      </c>
      <c r="B503" s="209"/>
      <c r="C503" s="36">
        <v>3</v>
      </c>
      <c r="D503" s="9">
        <v>10</v>
      </c>
      <c r="E503" s="9">
        <v>0</v>
      </c>
      <c r="F503" s="9">
        <v>0</v>
      </c>
      <c r="G503" s="9">
        <v>4</v>
      </c>
      <c r="H503" s="9">
        <v>1</v>
      </c>
      <c r="I503" s="9">
        <v>0</v>
      </c>
      <c r="J503" s="9">
        <v>10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33">
        <f>SUM(C503:R503)</f>
        <v>28</v>
      </c>
      <c r="T503" s="9"/>
      <c r="U503" s="9">
        <v>10</v>
      </c>
      <c r="V503" s="9">
        <v>8</v>
      </c>
      <c r="W503" s="9">
        <v>0</v>
      </c>
      <c r="X503" s="37">
        <v>0</v>
      </c>
      <c r="Y503" s="9"/>
      <c r="Z503" s="91">
        <v>1647004</v>
      </c>
      <c r="AA503" s="94"/>
      <c r="AB503" s="94"/>
      <c r="AC503" s="91">
        <v>399935</v>
      </c>
      <c r="AD503" s="9"/>
      <c r="AE503" s="33">
        <f t="shared" ref="AE503:AE526" si="234">SUM(AC503:AD503)</f>
        <v>399935</v>
      </c>
      <c r="AF503" s="9"/>
      <c r="AG503" s="91">
        <v>68</v>
      </c>
      <c r="AH503" s="92">
        <v>36</v>
      </c>
      <c r="AI503" s="92">
        <v>116</v>
      </c>
      <c r="AJ503" s="93"/>
      <c r="AK503" s="9"/>
      <c r="AL503" s="36"/>
      <c r="AM503" s="9"/>
      <c r="AN503" s="33"/>
      <c r="AO503" s="280"/>
      <c r="AP503" s="280"/>
      <c r="AQ503" s="282"/>
      <c r="AR503" s="92">
        <v>153</v>
      </c>
      <c r="AS503" s="92">
        <v>47</v>
      </c>
      <c r="AT503" s="92">
        <v>73</v>
      </c>
      <c r="AU503" s="92">
        <v>19</v>
      </c>
      <c r="AV503" s="93">
        <v>163</v>
      </c>
      <c r="AW503" s="9"/>
      <c r="AX503" s="325">
        <v>38169</v>
      </c>
      <c r="AY503" s="37">
        <v>0</v>
      </c>
      <c r="AZ503" s="9"/>
      <c r="BA503" s="91">
        <v>1765</v>
      </c>
      <c r="BB503" s="92">
        <v>30592017</v>
      </c>
      <c r="BC503" s="92"/>
      <c r="BD503" s="92"/>
      <c r="BE503" s="92">
        <v>48</v>
      </c>
      <c r="BF503" s="92">
        <v>7</v>
      </c>
      <c r="BG503" s="92">
        <v>0</v>
      </c>
      <c r="BH503" s="352"/>
      <c r="BI503" s="92">
        <v>1284074</v>
      </c>
      <c r="BJ503" s="343">
        <v>38178</v>
      </c>
      <c r="BK503" s="343">
        <v>38252</v>
      </c>
      <c r="BL503" s="319">
        <f>BK503-BJ503</f>
        <v>74</v>
      </c>
      <c r="BM503" s="93"/>
      <c r="BN503" s="9"/>
      <c r="BO503" s="36"/>
      <c r="BP503" s="93">
        <v>155</v>
      </c>
      <c r="BQ503" s="9"/>
      <c r="BR503" s="74">
        <v>2005</v>
      </c>
      <c r="BS503" s="75">
        <v>2004</v>
      </c>
      <c r="BT503" s="13">
        <v>13</v>
      </c>
      <c r="BU503" s="9"/>
      <c r="BV503" s="36">
        <v>0</v>
      </c>
      <c r="BW503" s="9">
        <v>0</v>
      </c>
      <c r="BX503" s="9">
        <v>0</v>
      </c>
      <c r="BY503" s="9"/>
      <c r="BZ503" s="9"/>
      <c r="CA503" s="9"/>
      <c r="CB503" s="9"/>
      <c r="CC503" s="223"/>
      <c r="CD503" s="9">
        <v>3</v>
      </c>
      <c r="CE503" s="220">
        <v>0</v>
      </c>
      <c r="CF503" s="9">
        <v>0</v>
      </c>
      <c r="CG503" s="9">
        <v>0</v>
      </c>
      <c r="CH503" s="9"/>
      <c r="CI503" s="9">
        <v>0</v>
      </c>
      <c r="CJ503" s="9">
        <v>7</v>
      </c>
      <c r="CK503" s="9"/>
      <c r="CL503" s="9"/>
      <c r="CM503" s="9">
        <v>0</v>
      </c>
      <c r="CN503" s="9"/>
      <c r="CO503" s="9">
        <v>7</v>
      </c>
      <c r="CP503" s="220"/>
      <c r="CQ503" s="9"/>
      <c r="CR503" s="9"/>
      <c r="CS503" s="9">
        <v>0</v>
      </c>
      <c r="CT503" s="9">
        <v>3</v>
      </c>
      <c r="CU503" s="9">
        <v>0</v>
      </c>
      <c r="CV503" s="9">
        <v>1</v>
      </c>
      <c r="CW503" s="9"/>
      <c r="CX503" s="9"/>
      <c r="CY503" s="9">
        <v>1</v>
      </c>
      <c r="CZ503" s="9"/>
      <c r="DA503" s="9"/>
      <c r="DB503" s="9">
        <v>2</v>
      </c>
      <c r="DC503" s="9"/>
      <c r="DD503" s="9"/>
      <c r="DE503" s="9"/>
      <c r="DF503" s="9"/>
      <c r="DG503" s="9">
        <v>0</v>
      </c>
      <c r="DH503" s="9">
        <v>0</v>
      </c>
      <c r="DI503" s="9">
        <v>0</v>
      </c>
      <c r="DJ503" s="9">
        <v>0</v>
      </c>
      <c r="DK503" s="9"/>
      <c r="DL503" s="9"/>
      <c r="DM503" s="9">
        <v>2</v>
      </c>
      <c r="DN503" s="9"/>
      <c r="DO503" s="9">
        <v>0</v>
      </c>
      <c r="DP503" s="9"/>
      <c r="DQ503" s="9"/>
      <c r="DR503" s="9"/>
      <c r="DS503" s="9">
        <v>1</v>
      </c>
      <c r="DT503" s="9">
        <v>1</v>
      </c>
      <c r="DU503" s="9">
        <v>0</v>
      </c>
      <c r="DV503" s="44">
        <f t="shared" ref="DV503:DV527" si="235">SUM(BV503:DU503)</f>
        <v>28</v>
      </c>
      <c r="DW503" s="13" t="str">
        <f t="shared" ref="DW503:DW526" si="236">IF(DV503=S503,"","PROB")</f>
        <v/>
      </c>
      <c r="DY503">
        <f>S503</f>
        <v>28</v>
      </c>
    </row>
    <row r="504" spans="1:129" customFormat="1">
      <c r="A504" s="210">
        <v>38183</v>
      </c>
      <c r="B504" s="211"/>
      <c r="C504" s="8">
        <v>1</v>
      </c>
      <c r="D504" s="10">
        <v>11</v>
      </c>
      <c r="E504" s="10">
        <v>0</v>
      </c>
      <c r="F504" s="59">
        <v>0</v>
      </c>
      <c r="G504" s="59">
        <v>1</v>
      </c>
      <c r="H504" s="59">
        <v>3</v>
      </c>
      <c r="I504" s="59">
        <v>0</v>
      </c>
      <c r="J504" s="59">
        <v>3</v>
      </c>
      <c r="K504" s="59">
        <v>0</v>
      </c>
      <c r="L504" s="59">
        <v>0</v>
      </c>
      <c r="M504" s="59">
        <v>0</v>
      </c>
      <c r="N504" s="59">
        <v>0</v>
      </c>
      <c r="O504" s="59">
        <v>13</v>
      </c>
      <c r="P504" s="59">
        <v>0</v>
      </c>
      <c r="Q504" s="59">
        <v>0</v>
      </c>
      <c r="R504" s="59">
        <v>0</v>
      </c>
      <c r="S504" s="35">
        <f>SUM(C504:R504)</f>
        <v>32</v>
      </c>
      <c r="T504" s="59"/>
      <c r="U504" s="59">
        <v>5</v>
      </c>
      <c r="V504" s="59">
        <v>5</v>
      </c>
      <c r="W504" s="59">
        <v>0</v>
      </c>
      <c r="X504" s="5">
        <v>0</v>
      </c>
      <c r="Y504" s="10"/>
      <c r="Z504" s="61">
        <v>1727000</v>
      </c>
      <c r="AA504" s="98"/>
      <c r="AB504" s="98"/>
      <c r="AC504" s="61">
        <v>808000</v>
      </c>
      <c r="AD504" s="59"/>
      <c r="AE504" s="35">
        <f t="shared" si="234"/>
        <v>808000</v>
      </c>
      <c r="AF504" s="10"/>
      <c r="AG504" s="61">
        <v>55</v>
      </c>
      <c r="AH504" s="59">
        <v>44</v>
      </c>
      <c r="AI504" s="59">
        <v>110</v>
      </c>
      <c r="AJ504" s="62"/>
      <c r="AK504" s="10"/>
      <c r="AL504" s="8"/>
      <c r="AM504" s="10"/>
      <c r="AN504" s="35"/>
      <c r="AO504" s="279"/>
      <c r="AP504" s="279"/>
      <c r="AQ504" s="281"/>
      <c r="AR504" s="59">
        <v>153</v>
      </c>
      <c r="AS504" s="59"/>
      <c r="AT504" s="59"/>
      <c r="AU504" s="59"/>
      <c r="AV504" s="62"/>
      <c r="AW504" s="10"/>
      <c r="AX504" s="326">
        <v>38181</v>
      </c>
      <c r="AY504" s="5">
        <v>-2</v>
      </c>
      <c r="AZ504" s="10"/>
      <c r="BA504" s="61"/>
      <c r="BB504" s="59"/>
      <c r="BC504" s="59"/>
      <c r="BD504" s="59"/>
      <c r="BE504" s="59"/>
      <c r="BF504" s="59"/>
      <c r="BG504" s="59"/>
      <c r="BH504" s="351"/>
      <c r="BI504" s="59"/>
      <c r="BJ504" s="342"/>
      <c r="BK504" s="342"/>
      <c r="BL504" s="320"/>
      <c r="BM504" s="62"/>
      <c r="BN504" s="10"/>
      <c r="BO504" s="8"/>
      <c r="BP504" s="62"/>
      <c r="BQ504" s="10"/>
      <c r="BR504" s="29">
        <v>2005</v>
      </c>
      <c r="BS504" s="64">
        <v>2004</v>
      </c>
      <c r="BT504" s="14">
        <v>14</v>
      </c>
      <c r="BU504" s="10"/>
      <c r="BV504" s="8">
        <v>0</v>
      </c>
      <c r="BW504" s="10">
        <v>0</v>
      </c>
      <c r="BX504" s="59">
        <v>0</v>
      </c>
      <c r="BY504" s="59"/>
      <c r="BZ504" s="59"/>
      <c r="CA504" s="59"/>
      <c r="CB504" s="59"/>
      <c r="CC504" s="221"/>
      <c r="CD504" s="59">
        <v>3</v>
      </c>
      <c r="CE504" s="317">
        <v>0</v>
      </c>
      <c r="CF504" s="59">
        <v>0</v>
      </c>
      <c r="CG504" s="59">
        <v>0</v>
      </c>
      <c r="CH504" s="59"/>
      <c r="CI504" s="59">
        <v>2</v>
      </c>
      <c r="CJ504" s="59">
        <v>1</v>
      </c>
      <c r="CK504" s="59"/>
      <c r="CL504" s="59"/>
      <c r="CM504" s="59">
        <v>0</v>
      </c>
      <c r="CN504" s="59"/>
      <c r="CO504" s="59">
        <v>4</v>
      </c>
      <c r="CP504" s="317"/>
      <c r="CQ504" s="59"/>
      <c r="CR504" s="59"/>
      <c r="CS504" s="59">
        <v>0</v>
      </c>
      <c r="CT504" s="59">
        <v>16</v>
      </c>
      <c r="CU504" s="59">
        <v>0</v>
      </c>
      <c r="CV504" s="59">
        <v>0</v>
      </c>
      <c r="CW504" s="59"/>
      <c r="CX504" s="59"/>
      <c r="CY504" s="59">
        <v>0</v>
      </c>
      <c r="CZ504" s="59"/>
      <c r="DA504" s="59"/>
      <c r="DB504" s="59">
        <v>0</v>
      </c>
      <c r="DC504" s="59"/>
      <c r="DD504" s="59"/>
      <c r="DE504" s="59"/>
      <c r="DF504" s="59"/>
      <c r="DG504" s="59">
        <v>3</v>
      </c>
      <c r="DH504" s="59">
        <v>0</v>
      </c>
      <c r="DI504" s="59">
        <v>0</v>
      </c>
      <c r="DJ504" s="59">
        <v>0</v>
      </c>
      <c r="DK504" s="59"/>
      <c r="DL504" s="59"/>
      <c r="DM504" s="59">
        <v>2</v>
      </c>
      <c r="DN504" s="59"/>
      <c r="DO504" s="59">
        <v>0</v>
      </c>
      <c r="DP504" s="59"/>
      <c r="DQ504" s="59"/>
      <c r="DR504" s="59"/>
      <c r="DS504" s="59">
        <v>1</v>
      </c>
      <c r="DT504" s="59">
        <v>0</v>
      </c>
      <c r="DU504" s="59">
        <v>0</v>
      </c>
      <c r="DV504" s="38">
        <f t="shared" si="235"/>
        <v>32</v>
      </c>
      <c r="DW504" s="14" t="str">
        <f t="shared" si="236"/>
        <v/>
      </c>
      <c r="DY504">
        <f>S504</f>
        <v>32</v>
      </c>
    </row>
    <row r="505" spans="1:129" customFormat="1">
      <c r="A505" s="210">
        <v>38200</v>
      </c>
      <c r="B505" s="211"/>
      <c r="C505" s="8">
        <v>1</v>
      </c>
      <c r="D505" s="10">
        <v>19</v>
      </c>
      <c r="E505" s="10">
        <v>2</v>
      </c>
      <c r="F505" s="59">
        <v>1</v>
      </c>
      <c r="G505" s="59">
        <v>0</v>
      </c>
      <c r="H505" s="59">
        <v>0</v>
      </c>
      <c r="I505" s="59">
        <v>0</v>
      </c>
      <c r="J505" s="59">
        <v>12</v>
      </c>
      <c r="K505" s="59">
        <v>0</v>
      </c>
      <c r="L505" s="59">
        <v>0</v>
      </c>
      <c r="M505" s="59">
        <v>0</v>
      </c>
      <c r="N505" s="59">
        <v>0</v>
      </c>
      <c r="O505" s="59">
        <v>4</v>
      </c>
      <c r="P505" s="59">
        <v>0</v>
      </c>
      <c r="Q505" s="59">
        <v>0</v>
      </c>
      <c r="R505" s="59">
        <v>0</v>
      </c>
      <c r="S505" s="35">
        <f>SUM(C505:R505)</f>
        <v>39</v>
      </c>
      <c r="T505" s="59"/>
      <c r="U505" s="59">
        <v>7</v>
      </c>
      <c r="V505" s="59">
        <v>5</v>
      </c>
      <c r="W505" s="59">
        <v>0</v>
      </c>
      <c r="X505" s="5">
        <v>0</v>
      </c>
      <c r="Y505" s="10"/>
      <c r="Z505" s="61">
        <v>1961472</v>
      </c>
      <c r="AA505" s="95"/>
      <c r="AB505" s="95"/>
      <c r="AC505" s="61">
        <v>365437</v>
      </c>
      <c r="AD505" s="59"/>
      <c r="AE505" s="35">
        <f t="shared" si="234"/>
        <v>365437</v>
      </c>
      <c r="AF505" s="10"/>
      <c r="AG505" s="61">
        <v>63</v>
      </c>
      <c r="AH505" s="59">
        <v>47</v>
      </c>
      <c r="AI505" s="59">
        <v>124</v>
      </c>
      <c r="AJ505" s="62"/>
      <c r="AK505" s="10"/>
      <c r="AL505" s="8"/>
      <c r="AM505" s="10"/>
      <c r="AN505" s="35"/>
      <c r="AO505" s="279"/>
      <c r="AP505" s="279"/>
      <c r="AQ505" s="281"/>
      <c r="AR505" s="59">
        <v>153</v>
      </c>
      <c r="AS505" s="59">
        <v>46</v>
      </c>
      <c r="AT505" s="59">
        <v>74</v>
      </c>
      <c r="AU505" s="59">
        <v>19</v>
      </c>
      <c r="AV505" s="62">
        <v>164</v>
      </c>
      <c r="AW505" s="10"/>
      <c r="AX505" s="326">
        <v>38196</v>
      </c>
      <c r="AY505" s="5">
        <v>-4</v>
      </c>
      <c r="AZ505" s="10"/>
      <c r="BA505" s="61">
        <v>1766</v>
      </c>
      <c r="BB505" s="59">
        <v>30730722</v>
      </c>
      <c r="BC505" s="59"/>
      <c r="BD505" s="59"/>
      <c r="BE505" s="59">
        <v>55</v>
      </c>
      <c r="BF505" s="59">
        <v>5</v>
      </c>
      <c r="BG505" s="59">
        <v>4</v>
      </c>
      <c r="BH505" s="351"/>
      <c r="BI505" s="59">
        <v>1395344</v>
      </c>
      <c r="BJ505" s="342">
        <v>38209</v>
      </c>
      <c r="BK505" s="342">
        <v>38264</v>
      </c>
      <c r="BL505" s="320">
        <f>BK505-BJ505</f>
        <v>55</v>
      </c>
      <c r="BM505" s="62"/>
      <c r="BN505" s="10"/>
      <c r="BO505" s="8"/>
      <c r="BP505" s="62">
        <v>155</v>
      </c>
      <c r="BQ505" s="10"/>
      <c r="BR505" s="29">
        <v>2005</v>
      </c>
      <c r="BS505" s="64">
        <v>2004</v>
      </c>
      <c r="BT505" s="14">
        <v>15</v>
      </c>
      <c r="BU505" s="10"/>
      <c r="BV505" s="8">
        <v>6</v>
      </c>
      <c r="BW505" s="10">
        <v>3</v>
      </c>
      <c r="BX505" s="59">
        <v>0</v>
      </c>
      <c r="BY505" s="59"/>
      <c r="BZ505" s="59"/>
      <c r="CA505" s="59"/>
      <c r="CB505" s="59"/>
      <c r="CC505" s="221"/>
      <c r="CD505" s="59">
        <v>2</v>
      </c>
      <c r="CE505" s="317">
        <v>0</v>
      </c>
      <c r="CF505" s="59">
        <v>0</v>
      </c>
      <c r="CG505" s="59">
        <v>0</v>
      </c>
      <c r="CH505" s="59"/>
      <c r="CI505" s="59">
        <v>3</v>
      </c>
      <c r="CJ505" s="59">
        <v>8</v>
      </c>
      <c r="CK505" s="59"/>
      <c r="CL505" s="59"/>
      <c r="CM505" s="59">
        <v>0</v>
      </c>
      <c r="CN505" s="59"/>
      <c r="CO505" s="59">
        <v>1</v>
      </c>
      <c r="CP505" s="317"/>
      <c r="CQ505" s="59"/>
      <c r="CR505" s="59"/>
      <c r="CS505" s="59">
        <v>2</v>
      </c>
      <c r="CT505" s="59">
        <v>3</v>
      </c>
      <c r="CU505" s="59">
        <v>0</v>
      </c>
      <c r="CV505" s="59">
        <v>1</v>
      </c>
      <c r="CW505" s="59"/>
      <c r="CX505" s="59"/>
      <c r="CY505" s="59">
        <v>0</v>
      </c>
      <c r="CZ505" s="59"/>
      <c r="DA505" s="59"/>
      <c r="DB505" s="59">
        <v>4</v>
      </c>
      <c r="DC505" s="59"/>
      <c r="DD505" s="59"/>
      <c r="DE505" s="59"/>
      <c r="DF505" s="59"/>
      <c r="DG505" s="59">
        <v>0</v>
      </c>
      <c r="DH505" s="59">
        <v>1</v>
      </c>
      <c r="DI505" s="59">
        <v>0</v>
      </c>
      <c r="DJ505" s="59">
        <v>0</v>
      </c>
      <c r="DK505" s="59"/>
      <c r="DL505" s="59"/>
      <c r="DM505" s="59">
        <v>0</v>
      </c>
      <c r="DN505" s="59"/>
      <c r="DO505" s="59">
        <v>0</v>
      </c>
      <c r="DP505" s="59"/>
      <c r="DQ505" s="59"/>
      <c r="DR505" s="59"/>
      <c r="DS505" s="59">
        <v>4</v>
      </c>
      <c r="DT505" s="59">
        <v>1</v>
      </c>
      <c r="DU505" s="59">
        <v>0</v>
      </c>
      <c r="DV505" s="38">
        <f t="shared" si="235"/>
        <v>39</v>
      </c>
      <c r="DW505" s="14" t="str">
        <f t="shared" si="236"/>
        <v/>
      </c>
      <c r="DY505">
        <f>S505</f>
        <v>39</v>
      </c>
    </row>
    <row r="506" spans="1:129" customFormat="1">
      <c r="A506" s="210">
        <v>38214</v>
      </c>
      <c r="B506" s="211"/>
      <c r="C506" s="61">
        <v>7</v>
      </c>
      <c r="D506" s="59">
        <v>6</v>
      </c>
      <c r="E506" s="59">
        <v>1</v>
      </c>
      <c r="F506" s="59">
        <v>0</v>
      </c>
      <c r="G506" s="59">
        <v>0</v>
      </c>
      <c r="H506" s="59">
        <v>0</v>
      </c>
      <c r="I506" s="59">
        <v>0</v>
      </c>
      <c r="J506" s="59">
        <v>2</v>
      </c>
      <c r="K506" s="59">
        <v>0</v>
      </c>
      <c r="L506" s="59">
        <v>0</v>
      </c>
      <c r="M506" s="59">
        <v>0</v>
      </c>
      <c r="N506" s="59">
        <v>0</v>
      </c>
      <c r="O506" s="59">
        <v>1</v>
      </c>
      <c r="P506" s="59">
        <v>0</v>
      </c>
      <c r="Q506" s="59">
        <v>0</v>
      </c>
      <c r="R506" s="59">
        <v>0</v>
      </c>
      <c r="S506" s="35">
        <f>SUM(C506:R506)</f>
        <v>17</v>
      </c>
      <c r="T506" s="59"/>
      <c r="U506" s="59">
        <v>3</v>
      </c>
      <c r="V506" s="59">
        <v>3</v>
      </c>
      <c r="W506" s="59">
        <v>0</v>
      </c>
      <c r="X506" s="62">
        <v>0</v>
      </c>
      <c r="Y506" s="59"/>
      <c r="Z506" s="61">
        <v>1731584</v>
      </c>
      <c r="AA506" s="59"/>
      <c r="AB506" s="59"/>
      <c r="AC506" s="61">
        <v>184037</v>
      </c>
      <c r="AD506" s="59"/>
      <c r="AE506" s="35">
        <f t="shared" si="234"/>
        <v>184037</v>
      </c>
      <c r="AF506" s="10"/>
      <c r="AG506" s="61">
        <v>29</v>
      </c>
      <c r="AH506" s="59">
        <v>50</v>
      </c>
      <c r="AI506" s="59">
        <v>92</v>
      </c>
      <c r="AJ506" s="62"/>
      <c r="AK506" s="10"/>
      <c r="AL506" s="8"/>
      <c r="AM506" s="10"/>
      <c r="AN506" s="35"/>
      <c r="AO506" s="279"/>
      <c r="AP506" s="279"/>
      <c r="AQ506" s="281"/>
      <c r="AR506" s="59">
        <v>153</v>
      </c>
      <c r="AS506" s="59">
        <v>48</v>
      </c>
      <c r="AT506" s="59">
        <v>75</v>
      </c>
      <c r="AU506" s="59">
        <v>18</v>
      </c>
      <c r="AV506" s="62">
        <v>166</v>
      </c>
      <c r="AW506" s="10"/>
      <c r="AX506" s="326">
        <v>38212</v>
      </c>
      <c r="AY506" s="5">
        <v>-2</v>
      </c>
      <c r="AZ506" s="10"/>
      <c r="BA506" s="61"/>
      <c r="BB506" s="59"/>
      <c r="BC506" s="59"/>
      <c r="BD506" s="59"/>
      <c r="BE506" s="59"/>
      <c r="BF506" s="59"/>
      <c r="BG506" s="59"/>
      <c r="BH506" s="351"/>
      <c r="BI506" s="59"/>
      <c r="BJ506" s="342"/>
      <c r="BK506" s="342"/>
      <c r="BL506" s="320"/>
      <c r="BM506" s="62"/>
      <c r="BN506" s="10"/>
      <c r="BO506" s="8"/>
      <c r="BP506" s="62"/>
      <c r="BQ506" s="10"/>
      <c r="BR506" s="29">
        <v>2005</v>
      </c>
      <c r="BS506" s="64">
        <v>2004</v>
      </c>
      <c r="BT506" s="14">
        <v>16</v>
      </c>
      <c r="BU506" s="10"/>
      <c r="BV506" s="8">
        <v>1</v>
      </c>
      <c r="BW506" s="59">
        <v>1</v>
      </c>
      <c r="BX506" s="59">
        <v>0</v>
      </c>
      <c r="BY506" s="59"/>
      <c r="BZ506" s="59"/>
      <c r="CA506" s="59"/>
      <c r="CB506" s="59"/>
      <c r="CC506" s="221"/>
      <c r="CD506" s="59">
        <v>1</v>
      </c>
      <c r="CE506" s="317">
        <v>0</v>
      </c>
      <c r="CF506" s="59">
        <v>0</v>
      </c>
      <c r="CG506" s="59">
        <v>0</v>
      </c>
      <c r="CH506" s="59"/>
      <c r="CI506" s="59">
        <v>0</v>
      </c>
      <c r="CJ506" s="59">
        <v>0</v>
      </c>
      <c r="CK506" s="59"/>
      <c r="CL506" s="59"/>
      <c r="CM506" s="59">
        <v>0</v>
      </c>
      <c r="CN506" s="59"/>
      <c r="CO506" s="59">
        <v>7</v>
      </c>
      <c r="CP506" s="317"/>
      <c r="CQ506" s="59"/>
      <c r="CR506" s="59"/>
      <c r="CS506" s="59">
        <v>0</v>
      </c>
      <c r="CT506" s="59">
        <v>1</v>
      </c>
      <c r="CU506" s="59">
        <v>0</v>
      </c>
      <c r="CV506" s="59">
        <v>1</v>
      </c>
      <c r="CW506" s="59"/>
      <c r="CX506" s="59"/>
      <c r="CY506" s="59">
        <v>1</v>
      </c>
      <c r="CZ506" s="59"/>
      <c r="DA506" s="59"/>
      <c r="DB506" s="59">
        <v>0</v>
      </c>
      <c r="DC506" s="59"/>
      <c r="DD506" s="59"/>
      <c r="DE506" s="59"/>
      <c r="DF506" s="59"/>
      <c r="DG506" s="59">
        <v>3</v>
      </c>
      <c r="DH506" s="59">
        <v>0</v>
      </c>
      <c r="DI506" s="59">
        <v>0</v>
      </c>
      <c r="DJ506" s="59">
        <v>0</v>
      </c>
      <c r="DK506" s="59"/>
      <c r="DL506" s="59"/>
      <c r="DM506" s="59">
        <v>0</v>
      </c>
      <c r="DN506" s="59"/>
      <c r="DO506" s="59">
        <v>0</v>
      </c>
      <c r="DP506" s="59"/>
      <c r="DQ506" s="59"/>
      <c r="DR506" s="59"/>
      <c r="DS506" s="59">
        <v>1</v>
      </c>
      <c r="DT506" s="59">
        <v>0</v>
      </c>
      <c r="DU506" s="59">
        <v>0</v>
      </c>
      <c r="DV506" s="38">
        <f t="shared" si="235"/>
        <v>17</v>
      </c>
      <c r="DW506" s="14" t="str">
        <f t="shared" si="236"/>
        <v/>
      </c>
      <c r="DY506">
        <f>S506</f>
        <v>17</v>
      </c>
    </row>
    <row r="507" spans="1:129" customFormat="1">
      <c r="A507" s="210">
        <v>38231</v>
      </c>
      <c r="B507" s="211"/>
      <c r="C507" s="61">
        <v>4</v>
      </c>
      <c r="D507" s="59">
        <v>12</v>
      </c>
      <c r="E507" s="59">
        <v>1</v>
      </c>
      <c r="F507" s="59">
        <v>1</v>
      </c>
      <c r="G507" s="59">
        <v>4</v>
      </c>
      <c r="H507" s="59">
        <v>0</v>
      </c>
      <c r="I507" s="59">
        <v>0</v>
      </c>
      <c r="J507" s="59">
        <v>5</v>
      </c>
      <c r="K507" s="59">
        <v>1</v>
      </c>
      <c r="L507" s="59">
        <v>0</v>
      </c>
      <c r="M507" s="59">
        <v>0</v>
      </c>
      <c r="N507" s="59">
        <v>0</v>
      </c>
      <c r="O507" s="59">
        <v>3</v>
      </c>
      <c r="P507" s="59">
        <v>0</v>
      </c>
      <c r="Q507" s="59">
        <v>0</v>
      </c>
      <c r="R507" s="59">
        <v>0</v>
      </c>
      <c r="S507" s="35">
        <f>SUM(C507:R507)</f>
        <v>31</v>
      </c>
      <c r="T507" s="59"/>
      <c r="U507" s="59">
        <v>11</v>
      </c>
      <c r="V507" s="59">
        <v>10</v>
      </c>
      <c r="W507" s="59">
        <v>0</v>
      </c>
      <c r="X507" s="62">
        <v>0</v>
      </c>
      <c r="Y507" s="59"/>
      <c r="Z507" s="61">
        <v>2049024</v>
      </c>
      <c r="AA507" s="59"/>
      <c r="AB507" s="59"/>
      <c r="AC507" s="61">
        <v>441088</v>
      </c>
      <c r="AD507" s="59"/>
      <c r="AE507" s="35">
        <f t="shared" si="234"/>
        <v>441088</v>
      </c>
      <c r="AF507" s="10"/>
      <c r="AG507" s="61">
        <v>55</v>
      </c>
      <c r="AH507" s="59">
        <v>53</v>
      </c>
      <c r="AI507" s="59">
        <v>120</v>
      </c>
      <c r="AJ507" s="62"/>
      <c r="AK507" s="10"/>
      <c r="AL507" s="8">
        <v>0</v>
      </c>
      <c r="AM507" s="10">
        <v>60</v>
      </c>
      <c r="AN507" s="35">
        <f>SUM(AL507:AM507)</f>
        <v>60</v>
      </c>
      <c r="AO507" s="279"/>
      <c r="AP507" s="279"/>
      <c r="AQ507" s="281"/>
      <c r="AR507" s="59">
        <v>155</v>
      </c>
      <c r="AS507" s="59">
        <v>47</v>
      </c>
      <c r="AT507" s="59">
        <v>75</v>
      </c>
      <c r="AU507" s="59">
        <v>17</v>
      </c>
      <c r="AV507" s="62">
        <v>163</v>
      </c>
      <c r="AW507" s="10"/>
      <c r="AX507" s="326">
        <v>38229</v>
      </c>
      <c r="AY507" s="5">
        <v>-2</v>
      </c>
      <c r="AZ507" s="10"/>
      <c r="BA507" s="61">
        <v>1768</v>
      </c>
      <c r="BB507" s="59">
        <v>30734234</v>
      </c>
      <c r="BC507" s="59"/>
      <c r="BD507" s="59"/>
      <c r="BE507" s="59">
        <v>49</v>
      </c>
      <c r="BF507" s="59">
        <v>3</v>
      </c>
      <c r="BG507" s="59">
        <v>1</v>
      </c>
      <c r="BH507" s="351"/>
      <c r="BI507" s="59">
        <v>1720810</v>
      </c>
      <c r="BJ507" s="342">
        <v>38240</v>
      </c>
      <c r="BK507" s="342">
        <v>38290</v>
      </c>
      <c r="BL507" s="320">
        <f>BK507-BJ507</f>
        <v>50</v>
      </c>
      <c r="BM507" s="62"/>
      <c r="BN507" s="59"/>
      <c r="BO507" s="61"/>
      <c r="BP507" s="62">
        <v>155</v>
      </c>
      <c r="BQ507" s="10"/>
      <c r="BR507" s="29">
        <v>2005</v>
      </c>
      <c r="BS507" s="64">
        <v>2004</v>
      </c>
      <c r="BT507" s="14">
        <v>17</v>
      </c>
      <c r="BU507" s="10"/>
      <c r="BV507" s="8">
        <v>0</v>
      </c>
      <c r="BW507" s="59">
        <v>0</v>
      </c>
      <c r="BX507" s="59">
        <v>0</v>
      </c>
      <c r="BY507" s="59"/>
      <c r="BZ507" s="59"/>
      <c r="CA507" s="59"/>
      <c r="CB507" s="59"/>
      <c r="CC507" s="221"/>
      <c r="CD507" s="59">
        <v>7</v>
      </c>
      <c r="CE507" s="317">
        <v>0</v>
      </c>
      <c r="CF507" s="59">
        <v>0</v>
      </c>
      <c r="CG507" s="59">
        <v>0</v>
      </c>
      <c r="CH507" s="59"/>
      <c r="CI507" s="59">
        <v>3</v>
      </c>
      <c r="CJ507" s="59">
        <v>2</v>
      </c>
      <c r="CK507" s="59"/>
      <c r="CL507" s="59"/>
      <c r="CM507" s="59">
        <v>0</v>
      </c>
      <c r="CN507" s="59"/>
      <c r="CO507" s="59">
        <v>2</v>
      </c>
      <c r="CP507" s="317"/>
      <c r="CQ507" s="59"/>
      <c r="CR507" s="59"/>
      <c r="CS507" s="59">
        <v>0</v>
      </c>
      <c r="CT507" s="59">
        <v>0</v>
      </c>
      <c r="CU507" s="59">
        <v>0</v>
      </c>
      <c r="CV507" s="59">
        <v>4</v>
      </c>
      <c r="CW507" s="59"/>
      <c r="CX507" s="59"/>
      <c r="CY507" s="59">
        <v>0</v>
      </c>
      <c r="CZ507" s="59"/>
      <c r="DA507" s="59"/>
      <c r="DB507" s="59">
        <v>1</v>
      </c>
      <c r="DC507" s="59"/>
      <c r="DD507" s="59"/>
      <c r="DE507" s="59"/>
      <c r="DF507" s="59"/>
      <c r="DG507" s="59">
        <v>3</v>
      </c>
      <c r="DH507" s="59">
        <v>1</v>
      </c>
      <c r="DI507" s="59">
        <v>0</v>
      </c>
      <c r="DJ507" s="59">
        <v>1</v>
      </c>
      <c r="DK507" s="59"/>
      <c r="DL507" s="59"/>
      <c r="DM507" s="59">
        <v>2</v>
      </c>
      <c r="DN507" s="59"/>
      <c r="DO507" s="59">
        <v>0</v>
      </c>
      <c r="DP507" s="59"/>
      <c r="DQ507" s="59"/>
      <c r="DR507" s="59"/>
      <c r="DS507" s="59">
        <v>0</v>
      </c>
      <c r="DT507" s="59">
        <v>5</v>
      </c>
      <c r="DU507" s="59">
        <v>0</v>
      </c>
      <c r="DV507" s="38">
        <f t="shared" si="235"/>
        <v>31</v>
      </c>
      <c r="DW507" s="14" t="str">
        <f t="shared" si="236"/>
        <v/>
      </c>
      <c r="DY507">
        <f>S507</f>
        <v>31</v>
      </c>
    </row>
    <row r="508" spans="1:129" customFormat="1">
      <c r="A508" s="210">
        <v>38245</v>
      </c>
      <c r="B508" s="211"/>
      <c r="C508" s="61">
        <v>0</v>
      </c>
      <c r="D508" s="59">
        <v>24</v>
      </c>
      <c r="E508" s="59">
        <v>0</v>
      </c>
      <c r="F508" s="59">
        <v>0</v>
      </c>
      <c r="G508" s="59">
        <v>2</v>
      </c>
      <c r="H508" s="59">
        <v>1</v>
      </c>
      <c r="I508" s="59">
        <v>0</v>
      </c>
      <c r="J508" s="59">
        <v>9</v>
      </c>
      <c r="K508" s="59">
        <v>0</v>
      </c>
      <c r="L508" s="59">
        <v>0</v>
      </c>
      <c r="M508" s="59">
        <v>0</v>
      </c>
      <c r="N508" s="59">
        <v>0</v>
      </c>
      <c r="O508" s="59">
        <v>5</v>
      </c>
      <c r="P508" s="59">
        <v>0</v>
      </c>
      <c r="Q508" s="59">
        <v>0</v>
      </c>
      <c r="R508" s="59">
        <v>0</v>
      </c>
      <c r="S508" s="35">
        <f t="shared" ref="S508:S522" si="237">SUM(C508:R508)</f>
        <v>41</v>
      </c>
      <c r="T508" s="59"/>
      <c r="U508" s="59">
        <v>14</v>
      </c>
      <c r="V508" s="59">
        <v>9</v>
      </c>
      <c r="W508" s="59">
        <v>0</v>
      </c>
      <c r="X508" s="62">
        <v>0</v>
      </c>
      <c r="Y508" s="59"/>
      <c r="Z508" s="61">
        <v>2408960</v>
      </c>
      <c r="AA508" s="59"/>
      <c r="AB508" s="59"/>
      <c r="AC508" s="61">
        <v>2466025</v>
      </c>
      <c r="AD508" s="59"/>
      <c r="AE508" s="35">
        <f t="shared" si="234"/>
        <v>2466025</v>
      </c>
      <c r="AF508" s="10"/>
      <c r="AG508" s="61">
        <v>82</v>
      </c>
      <c r="AH508" s="59">
        <v>57</v>
      </c>
      <c r="AI508" s="59">
        <v>152</v>
      </c>
      <c r="AJ508" s="62"/>
      <c r="AK508" s="10"/>
      <c r="AL508" s="8"/>
      <c r="AM508" s="10"/>
      <c r="AN508" s="35"/>
      <c r="AO508" s="279"/>
      <c r="AP508" s="279"/>
      <c r="AQ508" s="281"/>
      <c r="AR508" s="59">
        <v>154</v>
      </c>
      <c r="AS508" s="59">
        <v>46</v>
      </c>
      <c r="AT508" s="59">
        <v>72</v>
      </c>
      <c r="AU508" s="59">
        <v>17</v>
      </c>
      <c r="AV508" s="62">
        <v>155</v>
      </c>
      <c r="AW508" s="10"/>
      <c r="AX508" s="326">
        <v>38244</v>
      </c>
      <c r="AY508" s="5">
        <v>-1</v>
      </c>
      <c r="AZ508" s="10"/>
      <c r="BA508" s="61"/>
      <c r="BB508" s="59"/>
      <c r="BC508" s="59"/>
      <c r="BD508" s="59"/>
      <c r="BE508" s="59"/>
      <c r="BF508" s="59"/>
      <c r="BG508" s="59"/>
      <c r="BH508" s="351"/>
      <c r="BI508" s="59"/>
      <c r="BJ508" s="342"/>
      <c r="BK508" s="342"/>
      <c r="BL508" s="320"/>
      <c r="BM508" s="62"/>
      <c r="BN508" s="10"/>
      <c r="BO508" s="8"/>
      <c r="BP508" s="62"/>
      <c r="BQ508" s="10"/>
      <c r="BR508" s="29">
        <v>2005</v>
      </c>
      <c r="BS508" s="64">
        <v>2004</v>
      </c>
      <c r="BT508" s="14">
        <v>18</v>
      </c>
      <c r="BU508" s="10"/>
      <c r="BV508" s="8">
        <v>0</v>
      </c>
      <c r="BW508" s="59">
        <v>1</v>
      </c>
      <c r="BX508" s="59">
        <v>0</v>
      </c>
      <c r="BY508" s="59"/>
      <c r="BZ508" s="59"/>
      <c r="CA508" s="59"/>
      <c r="CB508" s="59"/>
      <c r="CC508" s="221"/>
      <c r="CD508" s="59">
        <v>3</v>
      </c>
      <c r="CE508" s="317">
        <v>0</v>
      </c>
      <c r="CF508" s="59">
        <v>1</v>
      </c>
      <c r="CG508" s="59">
        <v>0</v>
      </c>
      <c r="CH508" s="59"/>
      <c r="CI508" s="59">
        <v>1</v>
      </c>
      <c r="CJ508" s="59">
        <v>0</v>
      </c>
      <c r="CK508" s="59"/>
      <c r="CL508" s="59"/>
      <c r="CM508" s="59">
        <v>0</v>
      </c>
      <c r="CN508" s="59"/>
      <c r="CO508" s="59">
        <v>9</v>
      </c>
      <c r="CP508" s="317"/>
      <c r="CQ508" s="59"/>
      <c r="CR508" s="59"/>
      <c r="CS508" s="59">
        <v>0</v>
      </c>
      <c r="CT508" s="59">
        <v>4</v>
      </c>
      <c r="CU508" s="59">
        <v>0</v>
      </c>
      <c r="CV508" s="59">
        <v>0</v>
      </c>
      <c r="CW508" s="59"/>
      <c r="CX508" s="59"/>
      <c r="CY508" s="59">
        <v>0</v>
      </c>
      <c r="CZ508" s="59"/>
      <c r="DA508" s="59"/>
      <c r="DB508" s="59">
        <v>4</v>
      </c>
      <c r="DC508" s="59"/>
      <c r="DD508" s="59"/>
      <c r="DE508" s="59"/>
      <c r="DF508" s="59"/>
      <c r="DG508" s="59">
        <v>6</v>
      </c>
      <c r="DH508" s="59">
        <v>0</v>
      </c>
      <c r="DI508" s="59">
        <v>2</v>
      </c>
      <c r="DJ508" s="59">
        <v>0</v>
      </c>
      <c r="DK508" s="59"/>
      <c r="DL508" s="59"/>
      <c r="DM508" s="59">
        <v>6</v>
      </c>
      <c r="DN508" s="59"/>
      <c r="DO508" s="59">
        <v>0</v>
      </c>
      <c r="DP508" s="59"/>
      <c r="DQ508" s="59"/>
      <c r="DR508" s="59"/>
      <c r="DS508" s="59">
        <v>1</v>
      </c>
      <c r="DT508" s="59">
        <v>3</v>
      </c>
      <c r="DU508" s="59">
        <v>0</v>
      </c>
      <c r="DV508" s="38">
        <f t="shared" si="235"/>
        <v>41</v>
      </c>
      <c r="DW508" s="14" t="str">
        <f t="shared" si="236"/>
        <v/>
      </c>
      <c r="DY508">
        <f t="shared" ref="DY508:DY514" si="238">S508</f>
        <v>41</v>
      </c>
    </row>
    <row r="509" spans="1:129" customFormat="1">
      <c r="A509" s="210">
        <v>38261</v>
      </c>
      <c r="B509" s="211"/>
      <c r="C509" s="61">
        <v>4</v>
      </c>
      <c r="D509" s="59">
        <v>16</v>
      </c>
      <c r="E509" s="59">
        <v>1</v>
      </c>
      <c r="F509" s="59">
        <v>1</v>
      </c>
      <c r="G509" s="59">
        <v>0</v>
      </c>
      <c r="H509" s="59">
        <v>1</v>
      </c>
      <c r="I509" s="59">
        <v>0</v>
      </c>
      <c r="J509" s="59">
        <v>8</v>
      </c>
      <c r="K509" s="59">
        <v>0</v>
      </c>
      <c r="L509" s="59">
        <v>0</v>
      </c>
      <c r="M509" s="59">
        <v>0</v>
      </c>
      <c r="N509" s="59">
        <v>0</v>
      </c>
      <c r="O509" s="59">
        <v>6</v>
      </c>
      <c r="P509" s="59">
        <v>1</v>
      </c>
      <c r="Q509" s="59">
        <v>0</v>
      </c>
      <c r="R509" s="59">
        <v>0</v>
      </c>
      <c r="S509" s="35">
        <f t="shared" si="237"/>
        <v>38</v>
      </c>
      <c r="T509" s="59"/>
      <c r="U509" s="59">
        <v>21</v>
      </c>
      <c r="V509" s="59">
        <v>18</v>
      </c>
      <c r="W509" s="59">
        <v>0</v>
      </c>
      <c r="X509" s="5">
        <v>0</v>
      </c>
      <c r="Y509" s="10"/>
      <c r="Z509" s="61">
        <v>2258432</v>
      </c>
      <c r="AA509" s="59"/>
      <c r="AB509" s="59"/>
      <c r="AC509" s="61">
        <v>318608</v>
      </c>
      <c r="AD509" s="59"/>
      <c r="AE509" s="35">
        <f t="shared" si="234"/>
        <v>318608</v>
      </c>
      <c r="AF509" s="10"/>
      <c r="AG509" s="61">
        <v>49</v>
      </c>
      <c r="AH509" s="59">
        <v>62</v>
      </c>
      <c r="AI509" s="59">
        <v>124</v>
      </c>
      <c r="AJ509" s="62"/>
      <c r="AK509" s="10"/>
      <c r="AL509" s="61">
        <v>0</v>
      </c>
      <c r="AM509" s="59">
        <v>60</v>
      </c>
      <c r="AN509" s="35">
        <f>SUM(AL509:AM509)</f>
        <v>60</v>
      </c>
      <c r="AO509" s="279"/>
      <c r="AP509" s="279"/>
      <c r="AQ509" s="281"/>
      <c r="AR509" s="59">
        <v>156</v>
      </c>
      <c r="AS509" s="59">
        <v>46</v>
      </c>
      <c r="AT509" s="59">
        <v>71</v>
      </c>
      <c r="AU509" s="59">
        <v>17</v>
      </c>
      <c r="AV509" s="62">
        <v>154</v>
      </c>
      <c r="AW509" s="10"/>
      <c r="AX509" s="326">
        <v>38258</v>
      </c>
      <c r="AY509" s="5">
        <v>-3</v>
      </c>
      <c r="AZ509" s="10"/>
      <c r="BA509" s="61">
        <v>1768</v>
      </c>
      <c r="BB509" s="59">
        <v>30686482</v>
      </c>
      <c r="BC509" s="59"/>
      <c r="BD509" s="59"/>
      <c r="BE509" s="59">
        <v>58</v>
      </c>
      <c r="BF509" s="59">
        <v>3</v>
      </c>
      <c r="BG509" s="59">
        <v>3</v>
      </c>
      <c r="BH509" s="351"/>
      <c r="BI509" s="59">
        <v>1392658</v>
      </c>
      <c r="BJ509" s="342">
        <v>38270</v>
      </c>
      <c r="BK509" s="342">
        <v>38293</v>
      </c>
      <c r="BL509" s="320">
        <f>BK509-BJ509</f>
        <v>23</v>
      </c>
      <c r="BM509" s="62"/>
      <c r="BN509" s="10"/>
      <c r="BO509" s="8"/>
      <c r="BP509" s="62">
        <v>155</v>
      </c>
      <c r="BQ509" s="10"/>
      <c r="BR509" s="29">
        <v>2005</v>
      </c>
      <c r="BS509" s="64">
        <v>2004</v>
      </c>
      <c r="BT509" s="14">
        <v>19</v>
      </c>
      <c r="BU509" s="10"/>
      <c r="BV509" s="8">
        <v>0</v>
      </c>
      <c r="BW509" s="59">
        <v>3</v>
      </c>
      <c r="BX509" s="59">
        <v>0</v>
      </c>
      <c r="BY509" s="59"/>
      <c r="BZ509" s="59"/>
      <c r="CA509" s="59"/>
      <c r="CB509" s="59"/>
      <c r="CC509" s="221"/>
      <c r="CD509" s="59">
        <v>10</v>
      </c>
      <c r="CE509" s="317">
        <v>0</v>
      </c>
      <c r="CF509" s="59">
        <v>4</v>
      </c>
      <c r="CG509" s="59">
        <v>1</v>
      </c>
      <c r="CH509" s="59"/>
      <c r="CI509" s="59">
        <v>9</v>
      </c>
      <c r="CJ509" s="59">
        <v>3</v>
      </c>
      <c r="CK509" s="59"/>
      <c r="CL509" s="59"/>
      <c r="CM509" s="59">
        <v>0</v>
      </c>
      <c r="CN509" s="59"/>
      <c r="CO509" s="59">
        <v>1</v>
      </c>
      <c r="CP509" s="317"/>
      <c r="CQ509" s="59"/>
      <c r="CR509" s="59"/>
      <c r="CS509" s="59">
        <v>0</v>
      </c>
      <c r="CT509" s="59">
        <v>2</v>
      </c>
      <c r="CU509" s="59">
        <v>0</v>
      </c>
      <c r="CV509" s="59">
        <v>0</v>
      </c>
      <c r="CW509" s="59"/>
      <c r="CX509" s="59"/>
      <c r="CY509" s="59">
        <v>0</v>
      </c>
      <c r="CZ509" s="59"/>
      <c r="DA509" s="59"/>
      <c r="DB509" s="59">
        <v>0</v>
      </c>
      <c r="DC509" s="59"/>
      <c r="DD509" s="59"/>
      <c r="DE509" s="59"/>
      <c r="DF509" s="59"/>
      <c r="DG509" s="59">
        <v>0</v>
      </c>
      <c r="DH509" s="59">
        <v>0</v>
      </c>
      <c r="DI509" s="59">
        <v>2</v>
      </c>
      <c r="DJ509" s="59">
        <v>0</v>
      </c>
      <c r="DK509" s="59"/>
      <c r="DL509" s="59"/>
      <c r="DM509" s="59">
        <v>0</v>
      </c>
      <c r="DN509" s="59"/>
      <c r="DO509" s="59">
        <v>0</v>
      </c>
      <c r="DP509" s="59"/>
      <c r="DQ509" s="59"/>
      <c r="DR509" s="59"/>
      <c r="DS509" s="59">
        <v>0</v>
      </c>
      <c r="DT509" s="59">
        <v>3</v>
      </c>
      <c r="DU509" s="59">
        <v>0</v>
      </c>
      <c r="DV509" s="38">
        <f t="shared" si="235"/>
        <v>38</v>
      </c>
      <c r="DW509" s="14" t="str">
        <f t="shared" si="236"/>
        <v/>
      </c>
      <c r="DY509">
        <f t="shared" si="238"/>
        <v>38</v>
      </c>
    </row>
    <row r="510" spans="1:129" customFormat="1">
      <c r="A510" s="210">
        <v>38275</v>
      </c>
      <c r="B510" s="211"/>
      <c r="C510" s="61">
        <v>2</v>
      </c>
      <c r="D510" s="59">
        <v>15</v>
      </c>
      <c r="E510" s="59">
        <v>0</v>
      </c>
      <c r="F510" s="59">
        <v>2</v>
      </c>
      <c r="G510" s="59">
        <v>0</v>
      </c>
      <c r="H510" s="59">
        <v>0</v>
      </c>
      <c r="I510" s="59">
        <v>0</v>
      </c>
      <c r="J510" s="59">
        <v>19</v>
      </c>
      <c r="K510" s="59">
        <v>0</v>
      </c>
      <c r="L510" s="59">
        <v>0</v>
      </c>
      <c r="M510" s="59">
        <v>0</v>
      </c>
      <c r="N510" s="59">
        <v>0</v>
      </c>
      <c r="O510" s="59">
        <v>4</v>
      </c>
      <c r="P510" s="59">
        <v>0</v>
      </c>
      <c r="Q510" s="59">
        <v>0</v>
      </c>
      <c r="R510" s="59">
        <v>0</v>
      </c>
      <c r="S510" s="35">
        <f t="shared" si="237"/>
        <v>42</v>
      </c>
      <c r="T510" s="59"/>
      <c r="U510" s="59">
        <v>12</v>
      </c>
      <c r="V510" s="59">
        <v>10</v>
      </c>
      <c r="W510" s="59">
        <v>0</v>
      </c>
      <c r="X510" s="5">
        <v>1</v>
      </c>
      <c r="Y510" s="10"/>
      <c r="Z510" s="61">
        <v>2588672</v>
      </c>
      <c r="AA510" s="59"/>
      <c r="AB510" s="59"/>
      <c r="AC510" s="61">
        <v>566839</v>
      </c>
      <c r="AD510" s="59"/>
      <c r="AE510" s="35">
        <f t="shared" si="234"/>
        <v>566839</v>
      </c>
      <c r="AF510" s="10"/>
      <c r="AG510" s="61">
        <v>86</v>
      </c>
      <c r="AH510" s="59">
        <v>64</v>
      </c>
      <c r="AI510" s="59">
        <v>158</v>
      </c>
      <c r="AJ510" s="62"/>
      <c r="AK510" s="10"/>
      <c r="AL510" s="8"/>
      <c r="AM510" s="10"/>
      <c r="AN510" s="35"/>
      <c r="AO510" s="279"/>
      <c r="AP510" s="279"/>
      <c r="AQ510" s="281"/>
      <c r="AR510" s="59">
        <v>157</v>
      </c>
      <c r="AS510" s="59"/>
      <c r="AT510" s="59"/>
      <c r="AU510" s="59"/>
      <c r="AV510" s="62"/>
      <c r="AW510" s="10"/>
      <c r="AX510" s="326">
        <v>38274</v>
      </c>
      <c r="AY510" s="5">
        <v>-1</v>
      </c>
      <c r="AZ510" s="10"/>
      <c r="BA510" s="61"/>
      <c r="BB510" s="59"/>
      <c r="BC510" s="59"/>
      <c r="BD510" s="59"/>
      <c r="BE510" s="59"/>
      <c r="BF510" s="59"/>
      <c r="BG510" s="59"/>
      <c r="BH510" s="351"/>
      <c r="BI510" s="59"/>
      <c r="BJ510" s="342"/>
      <c r="BK510" s="342"/>
      <c r="BL510" s="320"/>
      <c r="BM510" s="62"/>
      <c r="BN510" s="10"/>
      <c r="BO510" s="8"/>
      <c r="BP510" s="62"/>
      <c r="BQ510" s="10"/>
      <c r="BR510" s="29">
        <v>2005</v>
      </c>
      <c r="BS510" s="64">
        <v>2004</v>
      </c>
      <c r="BT510" s="14">
        <v>20</v>
      </c>
      <c r="BU510" s="10"/>
      <c r="BV510" s="8">
        <v>1</v>
      </c>
      <c r="BW510" s="59">
        <v>2</v>
      </c>
      <c r="BX510" s="59">
        <v>0</v>
      </c>
      <c r="BY510" s="59"/>
      <c r="BZ510" s="59"/>
      <c r="CA510" s="59"/>
      <c r="CB510" s="59"/>
      <c r="CC510" s="221"/>
      <c r="CD510" s="59">
        <v>2</v>
      </c>
      <c r="CE510" s="317">
        <v>0</v>
      </c>
      <c r="CF510" s="59">
        <v>0</v>
      </c>
      <c r="CG510" s="59">
        <v>0</v>
      </c>
      <c r="CH510" s="59"/>
      <c r="CI510" s="59">
        <v>1</v>
      </c>
      <c r="CJ510" s="59">
        <v>1</v>
      </c>
      <c r="CK510" s="59"/>
      <c r="CL510" s="59"/>
      <c r="CM510" s="59">
        <v>0</v>
      </c>
      <c r="CN510" s="59"/>
      <c r="CO510" s="59">
        <v>9</v>
      </c>
      <c r="CP510" s="317"/>
      <c r="CQ510" s="59"/>
      <c r="CR510" s="59"/>
      <c r="CS510" s="59">
        <v>0</v>
      </c>
      <c r="CT510" s="59">
        <v>1</v>
      </c>
      <c r="CU510" s="59">
        <v>0</v>
      </c>
      <c r="CV510" s="59">
        <v>7</v>
      </c>
      <c r="CW510" s="59"/>
      <c r="CX510" s="59"/>
      <c r="CY510" s="59">
        <v>1</v>
      </c>
      <c r="CZ510" s="59"/>
      <c r="DA510" s="59"/>
      <c r="DB510" s="59">
        <v>7</v>
      </c>
      <c r="DC510" s="59"/>
      <c r="DD510" s="59"/>
      <c r="DE510" s="59"/>
      <c r="DF510" s="59"/>
      <c r="DG510" s="59">
        <v>2</v>
      </c>
      <c r="DH510" s="59">
        <v>0</v>
      </c>
      <c r="DI510" s="59">
        <v>0</v>
      </c>
      <c r="DJ510" s="59">
        <v>0</v>
      </c>
      <c r="DK510" s="59"/>
      <c r="DL510" s="59"/>
      <c r="DM510" s="59">
        <v>0</v>
      </c>
      <c r="DN510" s="59"/>
      <c r="DO510" s="59">
        <v>0</v>
      </c>
      <c r="DP510" s="59"/>
      <c r="DQ510" s="59"/>
      <c r="DR510" s="59"/>
      <c r="DS510" s="59">
        <v>5</v>
      </c>
      <c r="DT510" s="59">
        <v>3</v>
      </c>
      <c r="DU510" s="59">
        <v>0</v>
      </c>
      <c r="DV510" s="38">
        <f t="shared" si="235"/>
        <v>42</v>
      </c>
      <c r="DW510" s="14" t="str">
        <f t="shared" si="236"/>
        <v/>
      </c>
      <c r="DY510">
        <f t="shared" si="238"/>
        <v>42</v>
      </c>
    </row>
    <row r="511" spans="1:129" customFormat="1">
      <c r="A511" s="210">
        <v>38292</v>
      </c>
      <c r="B511" s="211"/>
      <c r="C511" s="61">
        <v>2</v>
      </c>
      <c r="D511" s="59">
        <v>12</v>
      </c>
      <c r="E511" s="59">
        <v>0</v>
      </c>
      <c r="F511" s="59">
        <v>0</v>
      </c>
      <c r="G511" s="59">
        <v>2</v>
      </c>
      <c r="H511" s="59">
        <v>0</v>
      </c>
      <c r="I511" s="59">
        <v>0</v>
      </c>
      <c r="J511" s="59">
        <v>3</v>
      </c>
      <c r="K511" s="59">
        <v>0</v>
      </c>
      <c r="L511" s="59">
        <v>0</v>
      </c>
      <c r="M511" s="59">
        <v>0</v>
      </c>
      <c r="N511" s="59">
        <v>0</v>
      </c>
      <c r="O511" s="59">
        <v>8</v>
      </c>
      <c r="P511" s="59">
        <v>0</v>
      </c>
      <c r="Q511" s="59">
        <v>0</v>
      </c>
      <c r="R511" s="59">
        <v>0</v>
      </c>
      <c r="S511" s="35">
        <f t="shared" si="237"/>
        <v>27</v>
      </c>
      <c r="T511" s="59"/>
      <c r="U511" s="59">
        <v>10</v>
      </c>
      <c r="V511" s="59">
        <v>9</v>
      </c>
      <c r="W511" s="59">
        <v>0</v>
      </c>
      <c r="X511" s="5">
        <v>0</v>
      </c>
      <c r="Y511" s="10"/>
      <c r="Z511" s="61">
        <v>2310656</v>
      </c>
      <c r="AA511" s="59"/>
      <c r="AB511" s="59"/>
      <c r="AC511" s="61">
        <v>397454</v>
      </c>
      <c r="AD511" s="59"/>
      <c r="AE511" s="35">
        <f t="shared" si="234"/>
        <v>397454</v>
      </c>
      <c r="AF511" s="10"/>
      <c r="AG511" s="61">
        <v>36</v>
      </c>
      <c r="AH511" s="59">
        <v>68</v>
      </c>
      <c r="AI511" s="59">
        <v>116</v>
      </c>
      <c r="AJ511" s="62"/>
      <c r="AK511" s="10"/>
      <c r="AL511" s="8"/>
      <c r="AM511" s="10"/>
      <c r="AN511" s="35"/>
      <c r="AO511" s="279"/>
      <c r="AP511" s="279"/>
      <c r="AQ511" s="281"/>
      <c r="AR511" s="59">
        <v>159</v>
      </c>
      <c r="AS511" s="59">
        <v>49</v>
      </c>
      <c r="AT511" s="59">
        <v>74</v>
      </c>
      <c r="AU511" s="59">
        <v>18</v>
      </c>
      <c r="AV511" s="62">
        <v>162</v>
      </c>
      <c r="AW511" s="10"/>
      <c r="AX511" s="326">
        <v>38289</v>
      </c>
      <c r="AY511" s="5">
        <v>-3</v>
      </c>
      <c r="AZ511" s="10"/>
      <c r="BA511" s="61">
        <v>1772</v>
      </c>
      <c r="BB511" s="6">
        <v>30752690</v>
      </c>
      <c r="BC511" s="59"/>
      <c r="BD511" s="59"/>
      <c r="BE511" s="59">
        <v>42</v>
      </c>
      <c r="BF511" s="59">
        <v>4</v>
      </c>
      <c r="BG511" s="59">
        <v>0</v>
      </c>
      <c r="BH511" s="351"/>
      <c r="BI511" s="59">
        <v>1623398</v>
      </c>
      <c r="BJ511" s="342">
        <v>38301</v>
      </c>
      <c r="BK511" s="342">
        <v>38300</v>
      </c>
      <c r="BL511" s="320">
        <f>BK511-BJ511</f>
        <v>-1</v>
      </c>
      <c r="BM511" s="62"/>
      <c r="BN511" s="10"/>
      <c r="BO511" s="8"/>
      <c r="BP511" s="62">
        <v>155</v>
      </c>
      <c r="BQ511" s="10"/>
      <c r="BR511" s="29">
        <v>2005</v>
      </c>
      <c r="BS511" s="64">
        <v>2004</v>
      </c>
      <c r="BT511" s="14">
        <v>21</v>
      </c>
      <c r="BU511" s="10"/>
      <c r="BV511" s="8">
        <v>1</v>
      </c>
      <c r="BW511" s="59">
        <v>0</v>
      </c>
      <c r="BX511" s="59">
        <v>0</v>
      </c>
      <c r="BY511" s="59"/>
      <c r="BZ511" s="59"/>
      <c r="CA511" s="59"/>
      <c r="CB511" s="59"/>
      <c r="CC511" s="221"/>
      <c r="CD511" s="59">
        <v>3</v>
      </c>
      <c r="CE511" s="317">
        <v>0</v>
      </c>
      <c r="CF511" s="59">
        <v>0</v>
      </c>
      <c r="CG511" s="59">
        <v>0</v>
      </c>
      <c r="CH511" s="59"/>
      <c r="CI511" s="59">
        <v>0</v>
      </c>
      <c r="CJ511" s="59">
        <v>2</v>
      </c>
      <c r="CK511" s="59"/>
      <c r="CL511" s="59"/>
      <c r="CM511" s="59">
        <v>0</v>
      </c>
      <c r="CN511" s="59"/>
      <c r="CO511" s="59">
        <v>5</v>
      </c>
      <c r="CP511" s="317"/>
      <c r="CQ511" s="59"/>
      <c r="CR511" s="59"/>
      <c r="CS511" s="59">
        <v>0</v>
      </c>
      <c r="CT511" s="59">
        <v>0</v>
      </c>
      <c r="CU511" s="59">
        <v>0</v>
      </c>
      <c r="CV511" s="59">
        <v>5</v>
      </c>
      <c r="CW511" s="59"/>
      <c r="CX511" s="59"/>
      <c r="CY511" s="59">
        <v>3</v>
      </c>
      <c r="CZ511" s="59"/>
      <c r="DA511" s="59"/>
      <c r="DB511" s="59">
        <v>3</v>
      </c>
      <c r="DC511" s="59"/>
      <c r="DD511" s="59"/>
      <c r="DE511" s="59"/>
      <c r="DF511" s="59"/>
      <c r="DG511" s="59">
        <v>2</v>
      </c>
      <c r="DH511" s="59">
        <v>1</v>
      </c>
      <c r="DI511" s="59">
        <v>0</v>
      </c>
      <c r="DJ511" s="59">
        <v>0</v>
      </c>
      <c r="DK511" s="59"/>
      <c r="DL511" s="59"/>
      <c r="DM511" s="59">
        <v>1</v>
      </c>
      <c r="DN511" s="59"/>
      <c r="DO511" s="59">
        <v>0</v>
      </c>
      <c r="DP511" s="59"/>
      <c r="DQ511" s="59"/>
      <c r="DR511" s="59"/>
      <c r="DS511" s="59">
        <v>1</v>
      </c>
      <c r="DT511" s="59">
        <v>0</v>
      </c>
      <c r="DU511" s="59">
        <v>0</v>
      </c>
      <c r="DV511" s="38">
        <f t="shared" si="235"/>
        <v>27</v>
      </c>
      <c r="DW511" s="14" t="str">
        <f t="shared" si="236"/>
        <v/>
      </c>
      <c r="DY511">
        <f t="shared" si="238"/>
        <v>27</v>
      </c>
    </row>
    <row r="512" spans="1:129" customFormat="1">
      <c r="A512" s="210">
        <v>38306</v>
      </c>
      <c r="B512" s="211"/>
      <c r="C512" s="61">
        <v>4</v>
      </c>
      <c r="D512" s="59">
        <v>5</v>
      </c>
      <c r="E512" s="59">
        <v>0</v>
      </c>
      <c r="F512" s="59">
        <v>0</v>
      </c>
      <c r="G512" s="59">
        <v>2</v>
      </c>
      <c r="H512" s="59">
        <v>0</v>
      </c>
      <c r="I512" s="59">
        <v>0</v>
      </c>
      <c r="J512" s="59">
        <v>5</v>
      </c>
      <c r="K512" s="59">
        <v>0</v>
      </c>
      <c r="L512" s="59">
        <v>0</v>
      </c>
      <c r="M512" s="59">
        <v>0</v>
      </c>
      <c r="N512" s="59">
        <v>0</v>
      </c>
      <c r="O512" s="59">
        <v>7</v>
      </c>
      <c r="P512" s="59">
        <v>0</v>
      </c>
      <c r="Q512" s="59">
        <v>0</v>
      </c>
      <c r="R512" s="59">
        <v>0</v>
      </c>
      <c r="S512" s="35">
        <f t="shared" si="237"/>
        <v>23</v>
      </c>
      <c r="T512" s="59"/>
      <c r="U512" s="59">
        <v>10</v>
      </c>
      <c r="V512" s="59">
        <v>10</v>
      </c>
      <c r="W512" s="59">
        <v>0</v>
      </c>
      <c r="X512" s="5">
        <v>0</v>
      </c>
      <c r="Y512" s="10"/>
      <c r="Z512" s="61">
        <v>2633728</v>
      </c>
      <c r="AA512" s="59"/>
      <c r="AB512" s="59"/>
      <c r="AC512" s="61">
        <v>558017</v>
      </c>
      <c r="AD512" s="59"/>
      <c r="AE512" s="35">
        <f t="shared" si="234"/>
        <v>558017</v>
      </c>
      <c r="AF512" s="10"/>
      <c r="AG512" s="61">
        <v>61</v>
      </c>
      <c r="AH512" s="59">
        <v>70</v>
      </c>
      <c r="AI512" s="59">
        <v>148</v>
      </c>
      <c r="AJ512" s="62"/>
      <c r="AK512" s="10"/>
      <c r="AL512" s="8"/>
      <c r="AM512" s="10"/>
      <c r="AN512" s="35"/>
      <c r="AO512" s="279"/>
      <c r="AP512" s="279"/>
      <c r="AQ512" s="281"/>
      <c r="AR512" s="59">
        <v>160</v>
      </c>
      <c r="AS512" s="59">
        <v>49</v>
      </c>
      <c r="AT512" s="59">
        <v>74</v>
      </c>
      <c r="AU512" s="59">
        <v>18</v>
      </c>
      <c r="AV512" s="62">
        <v>162</v>
      </c>
      <c r="AW512" s="10"/>
      <c r="AX512" s="326">
        <v>38301</v>
      </c>
      <c r="AY512" s="5">
        <v>-5</v>
      </c>
      <c r="AZ512" s="10"/>
      <c r="BA512" s="61"/>
      <c r="BB512" s="59"/>
      <c r="BC512" s="59"/>
      <c r="BD512" s="59"/>
      <c r="BE512" s="59"/>
      <c r="BF512" s="59"/>
      <c r="BG512" s="59"/>
      <c r="BH512" s="351"/>
      <c r="BI512" s="102"/>
      <c r="BJ512" s="342"/>
      <c r="BK512" s="344"/>
      <c r="BL512" s="321"/>
      <c r="BM512" s="62"/>
      <c r="BN512" s="10"/>
      <c r="BO512" s="8"/>
      <c r="BP512" s="62"/>
      <c r="BQ512" s="10"/>
      <c r="BR512" s="29">
        <v>2005</v>
      </c>
      <c r="BS512" s="64">
        <v>2004</v>
      </c>
      <c r="BT512" s="14">
        <v>22</v>
      </c>
      <c r="BU512" s="10"/>
      <c r="BV512" s="8">
        <v>2</v>
      </c>
      <c r="BW512" s="59">
        <v>1</v>
      </c>
      <c r="BX512" s="59">
        <v>0</v>
      </c>
      <c r="BY512" s="59"/>
      <c r="BZ512" s="59"/>
      <c r="CA512" s="59"/>
      <c r="CB512" s="59"/>
      <c r="CC512" s="221"/>
      <c r="CD512" s="59">
        <v>5</v>
      </c>
      <c r="CE512" s="317">
        <v>0</v>
      </c>
      <c r="CF512" s="59">
        <v>0</v>
      </c>
      <c r="CG512" s="59">
        <v>0</v>
      </c>
      <c r="CH512" s="59"/>
      <c r="CI512" s="59">
        <v>2</v>
      </c>
      <c r="CJ512" s="59">
        <v>0</v>
      </c>
      <c r="CK512" s="59"/>
      <c r="CL512" s="59"/>
      <c r="CM512" s="59">
        <v>0</v>
      </c>
      <c r="CN512" s="59"/>
      <c r="CO512" s="59">
        <v>4</v>
      </c>
      <c r="CP512" s="317"/>
      <c r="CQ512" s="59"/>
      <c r="CR512" s="59"/>
      <c r="CS512" s="59">
        <v>0</v>
      </c>
      <c r="CT512" s="59">
        <v>4</v>
      </c>
      <c r="CU512" s="59">
        <v>0</v>
      </c>
      <c r="CV512" s="59">
        <v>2</v>
      </c>
      <c r="CW512" s="59"/>
      <c r="CX512" s="59"/>
      <c r="CY512" s="59">
        <v>0</v>
      </c>
      <c r="CZ512" s="59"/>
      <c r="DA512" s="59"/>
      <c r="DB512" s="59">
        <v>2</v>
      </c>
      <c r="DC512" s="59"/>
      <c r="DD512" s="59"/>
      <c r="DE512" s="59"/>
      <c r="DF512" s="59"/>
      <c r="DG512" s="59">
        <v>0</v>
      </c>
      <c r="DH512" s="59">
        <v>0</v>
      </c>
      <c r="DI512" s="59">
        <v>0</v>
      </c>
      <c r="DJ512" s="59">
        <v>0</v>
      </c>
      <c r="DK512" s="59"/>
      <c r="DL512" s="59"/>
      <c r="DM512" s="59">
        <v>1</v>
      </c>
      <c r="DN512" s="59"/>
      <c r="DO512" s="59">
        <v>0</v>
      </c>
      <c r="DP512" s="59"/>
      <c r="DQ512" s="59"/>
      <c r="DR512" s="59"/>
      <c r="DS512" s="59">
        <v>0</v>
      </c>
      <c r="DT512" s="59">
        <v>0</v>
      </c>
      <c r="DU512" s="59">
        <v>0</v>
      </c>
      <c r="DV512" s="38">
        <f t="shared" si="235"/>
        <v>23</v>
      </c>
      <c r="DW512" s="14" t="str">
        <f t="shared" si="236"/>
        <v/>
      </c>
      <c r="DY512">
        <f t="shared" si="238"/>
        <v>23</v>
      </c>
    </row>
    <row r="513" spans="1:130" customFormat="1">
      <c r="A513" s="210">
        <v>38322</v>
      </c>
      <c r="B513" s="211"/>
      <c r="C513" s="61">
        <v>2</v>
      </c>
      <c r="D513" s="59">
        <v>9</v>
      </c>
      <c r="E513" s="59">
        <v>2</v>
      </c>
      <c r="F513" s="59">
        <v>0</v>
      </c>
      <c r="G513" s="59">
        <v>2</v>
      </c>
      <c r="H513" s="59">
        <v>0</v>
      </c>
      <c r="I513" s="59">
        <v>0</v>
      </c>
      <c r="J513" s="59">
        <v>9</v>
      </c>
      <c r="K513" s="59">
        <v>0</v>
      </c>
      <c r="L513" s="59">
        <v>0</v>
      </c>
      <c r="M513" s="59">
        <v>0</v>
      </c>
      <c r="N513" s="59">
        <v>0</v>
      </c>
      <c r="O513" s="59">
        <v>6</v>
      </c>
      <c r="P513" s="59">
        <v>0</v>
      </c>
      <c r="Q513" s="59">
        <v>0</v>
      </c>
      <c r="R513" s="59">
        <v>0</v>
      </c>
      <c r="S513" s="35">
        <f t="shared" si="237"/>
        <v>30</v>
      </c>
      <c r="T513" s="59"/>
      <c r="U513" s="59">
        <v>10</v>
      </c>
      <c r="V513" s="59">
        <v>9</v>
      </c>
      <c r="W513" s="59">
        <v>0</v>
      </c>
      <c r="X513" s="5">
        <v>0</v>
      </c>
      <c r="Y513" s="10"/>
      <c r="Z513" s="61">
        <v>2633728</v>
      </c>
      <c r="AA513" s="59"/>
      <c r="AB513" s="59"/>
      <c r="AC513" s="61">
        <v>1082658</v>
      </c>
      <c r="AD513" s="59"/>
      <c r="AE513" s="35">
        <f t="shared" si="234"/>
        <v>1082658</v>
      </c>
      <c r="AF513" s="10"/>
      <c r="AG513" s="61">
        <v>59</v>
      </c>
      <c r="AH513" s="59">
        <v>72</v>
      </c>
      <c r="AI513" s="59">
        <v>140</v>
      </c>
      <c r="AJ513" s="62"/>
      <c r="AK513" s="10"/>
      <c r="AL513" s="8"/>
      <c r="AM513" s="10"/>
      <c r="AN513" s="35"/>
      <c r="AO513" s="279"/>
      <c r="AP513" s="279"/>
      <c r="AQ513" s="281"/>
      <c r="AR513" s="59">
        <v>160</v>
      </c>
      <c r="AS513" s="59">
        <v>48</v>
      </c>
      <c r="AT513" s="59">
        <v>75</v>
      </c>
      <c r="AU513" s="59">
        <v>18</v>
      </c>
      <c r="AV513" s="62">
        <v>162</v>
      </c>
      <c r="AW513" s="10"/>
      <c r="AX513" s="326">
        <v>38321</v>
      </c>
      <c r="AY513" s="5">
        <v>-1</v>
      </c>
      <c r="AZ513" s="10"/>
      <c r="BA513" s="61">
        <v>1777</v>
      </c>
      <c r="BB513" s="59">
        <v>30842179</v>
      </c>
      <c r="BC513" s="59"/>
      <c r="BD513" s="59"/>
      <c r="BE513" s="59">
        <v>53</v>
      </c>
      <c r="BF513" s="59">
        <v>6</v>
      </c>
      <c r="BG513" s="59">
        <v>1</v>
      </c>
      <c r="BH513" s="351"/>
      <c r="BI513" s="59">
        <v>1349638</v>
      </c>
      <c r="BJ513" s="342">
        <v>38331</v>
      </c>
      <c r="BK513" s="342">
        <v>38335</v>
      </c>
      <c r="BL513" s="320">
        <f>BK513-BJ513</f>
        <v>4</v>
      </c>
      <c r="BM513" s="62"/>
      <c r="BN513" s="10"/>
      <c r="BO513" s="8"/>
      <c r="BP513" s="62">
        <v>154</v>
      </c>
      <c r="BQ513" s="10"/>
      <c r="BR513" s="29">
        <v>2005</v>
      </c>
      <c r="BS513" s="64">
        <v>2004</v>
      </c>
      <c r="BT513" s="14">
        <v>23</v>
      </c>
      <c r="BU513" s="10"/>
      <c r="BV513" s="8">
        <v>3</v>
      </c>
      <c r="BW513" s="59">
        <v>1</v>
      </c>
      <c r="BX513" s="59">
        <v>0</v>
      </c>
      <c r="BY513" s="59"/>
      <c r="BZ513" s="59"/>
      <c r="CA513" s="59"/>
      <c r="CB513" s="59"/>
      <c r="CC513" s="221"/>
      <c r="CD513" s="59">
        <v>4</v>
      </c>
      <c r="CE513" s="317">
        <v>0</v>
      </c>
      <c r="CF513" s="59">
        <v>0</v>
      </c>
      <c r="CG513" s="59">
        <v>0</v>
      </c>
      <c r="CH513" s="59"/>
      <c r="CI513" s="59">
        <v>5</v>
      </c>
      <c r="CJ513" s="59">
        <v>1</v>
      </c>
      <c r="CK513" s="59"/>
      <c r="CL513" s="59"/>
      <c r="CM513" s="59">
        <v>0</v>
      </c>
      <c r="CN513" s="59"/>
      <c r="CO513" s="59">
        <v>7</v>
      </c>
      <c r="CP513" s="317"/>
      <c r="CQ513" s="59"/>
      <c r="CR513" s="59"/>
      <c r="CS513" s="59">
        <v>0</v>
      </c>
      <c r="CT513" s="59">
        <v>1</v>
      </c>
      <c r="CU513" s="59">
        <v>0</v>
      </c>
      <c r="CV513" s="59">
        <v>1</v>
      </c>
      <c r="CW513" s="59"/>
      <c r="CX513" s="59"/>
      <c r="CY513" s="59">
        <v>0</v>
      </c>
      <c r="CZ513" s="59"/>
      <c r="DA513" s="59"/>
      <c r="DB513" s="59">
        <v>0</v>
      </c>
      <c r="DC513" s="59"/>
      <c r="DD513" s="59"/>
      <c r="DE513" s="59"/>
      <c r="DF513" s="59"/>
      <c r="DG513" s="59">
        <v>0</v>
      </c>
      <c r="DH513" s="59">
        <v>2</v>
      </c>
      <c r="DI513" s="59">
        <v>0</v>
      </c>
      <c r="DJ513" s="59">
        <v>0</v>
      </c>
      <c r="DK513" s="59"/>
      <c r="DL513" s="59"/>
      <c r="DM513" s="59">
        <v>1</v>
      </c>
      <c r="DN513" s="59"/>
      <c r="DO513" s="59">
        <v>0</v>
      </c>
      <c r="DP513" s="59"/>
      <c r="DQ513" s="59"/>
      <c r="DR513" s="59"/>
      <c r="DS513" s="59">
        <v>0</v>
      </c>
      <c r="DT513" s="59">
        <v>4</v>
      </c>
      <c r="DU513" s="59">
        <v>0</v>
      </c>
      <c r="DV513" s="38">
        <f t="shared" si="235"/>
        <v>30</v>
      </c>
      <c r="DW513" s="14" t="str">
        <f t="shared" si="236"/>
        <v/>
      </c>
      <c r="DY513">
        <f t="shared" si="238"/>
        <v>30</v>
      </c>
    </row>
    <row r="514" spans="1:130" customFormat="1">
      <c r="A514" s="210">
        <v>38336</v>
      </c>
      <c r="B514" s="211"/>
      <c r="C514" s="61">
        <v>0</v>
      </c>
      <c r="D514" s="59">
        <v>21</v>
      </c>
      <c r="E514" s="59">
        <v>3</v>
      </c>
      <c r="F514" s="59">
        <v>1</v>
      </c>
      <c r="G514" s="59">
        <v>5</v>
      </c>
      <c r="H514" s="59">
        <v>0</v>
      </c>
      <c r="I514" s="59">
        <v>0</v>
      </c>
      <c r="J514" s="59">
        <v>1</v>
      </c>
      <c r="K514" s="59">
        <v>0</v>
      </c>
      <c r="L514" s="59">
        <v>0</v>
      </c>
      <c r="M514" s="59">
        <v>0</v>
      </c>
      <c r="N514" s="59">
        <v>0</v>
      </c>
      <c r="O514" s="59">
        <v>1</v>
      </c>
      <c r="P514" s="59">
        <v>0</v>
      </c>
      <c r="Q514" s="59">
        <v>0</v>
      </c>
      <c r="R514" s="59">
        <v>0</v>
      </c>
      <c r="S514" s="35">
        <f t="shared" si="237"/>
        <v>32</v>
      </c>
      <c r="T514" s="59"/>
      <c r="U514" s="59">
        <v>6</v>
      </c>
      <c r="V514" s="59">
        <v>5</v>
      </c>
      <c r="W514" s="59">
        <v>0</v>
      </c>
      <c r="X514" s="5">
        <v>0</v>
      </c>
      <c r="Y514" s="10"/>
      <c r="Z514" s="61">
        <v>2732032</v>
      </c>
      <c r="AA514" s="59"/>
      <c r="AB514" s="59"/>
      <c r="AC514" s="61">
        <v>416392</v>
      </c>
      <c r="AD514" s="59"/>
      <c r="AE514" s="35">
        <f t="shared" si="234"/>
        <v>416392</v>
      </c>
      <c r="AF514" s="10"/>
      <c r="AG514" s="61">
        <v>62</v>
      </c>
      <c r="AH514" s="59">
        <v>73</v>
      </c>
      <c r="AI514" s="59">
        <v>146</v>
      </c>
      <c r="AJ514" s="62"/>
      <c r="AK514" s="10"/>
      <c r="AL514" s="8"/>
      <c r="AM514" s="10"/>
      <c r="AN514" s="35"/>
      <c r="AO514" s="279"/>
      <c r="AP514" s="279"/>
      <c r="AQ514" s="281"/>
      <c r="AR514" s="59">
        <v>160</v>
      </c>
      <c r="AS514" s="59">
        <v>47</v>
      </c>
      <c r="AT514" s="59">
        <v>76</v>
      </c>
      <c r="AU514" s="59">
        <v>17</v>
      </c>
      <c r="AV514" s="62">
        <v>160</v>
      </c>
      <c r="AW514" s="10"/>
      <c r="AX514" s="326">
        <v>38335</v>
      </c>
      <c r="AY514" s="5">
        <v>-1</v>
      </c>
      <c r="AZ514" s="10"/>
      <c r="BA514" s="61"/>
      <c r="BB514" s="59"/>
      <c r="BC514" s="59"/>
      <c r="BD514" s="59"/>
      <c r="BE514" s="59"/>
      <c r="BF514" s="59"/>
      <c r="BG514" s="59"/>
      <c r="BH514" s="351"/>
      <c r="BI514" s="59"/>
      <c r="BJ514" s="342"/>
      <c r="BK514" s="342"/>
      <c r="BL514" s="320"/>
      <c r="BM514" s="62"/>
      <c r="BN514" s="10"/>
      <c r="BO514" s="8"/>
      <c r="BP514" s="62"/>
      <c r="BQ514" s="10"/>
      <c r="BR514" s="29">
        <v>2005</v>
      </c>
      <c r="BS514" s="64">
        <v>2004</v>
      </c>
      <c r="BT514" s="14">
        <v>24</v>
      </c>
      <c r="BU514" s="10"/>
      <c r="BV514" s="8">
        <v>1</v>
      </c>
      <c r="BW514" s="59">
        <v>2</v>
      </c>
      <c r="BX514" s="59">
        <v>0</v>
      </c>
      <c r="BY514" s="59"/>
      <c r="BZ514" s="59"/>
      <c r="CA514" s="59"/>
      <c r="CB514" s="59"/>
      <c r="CC514" s="221"/>
      <c r="CD514" s="59">
        <v>3</v>
      </c>
      <c r="CE514" s="317">
        <v>0</v>
      </c>
      <c r="CF514" s="59">
        <v>0</v>
      </c>
      <c r="CG514" s="59">
        <v>0</v>
      </c>
      <c r="CH514" s="59"/>
      <c r="CI514" s="59">
        <v>0</v>
      </c>
      <c r="CJ514" s="59">
        <v>0</v>
      </c>
      <c r="CK514" s="59"/>
      <c r="CL514" s="59"/>
      <c r="CM514" s="59">
        <v>0</v>
      </c>
      <c r="CN514" s="59"/>
      <c r="CO514" s="59">
        <v>3</v>
      </c>
      <c r="CP514" s="317"/>
      <c r="CQ514" s="59"/>
      <c r="CR514" s="59"/>
      <c r="CS514" s="59">
        <v>0</v>
      </c>
      <c r="CT514" s="59">
        <v>1</v>
      </c>
      <c r="CU514" s="59">
        <v>0</v>
      </c>
      <c r="CV514" s="59">
        <v>4</v>
      </c>
      <c r="CW514" s="59"/>
      <c r="CX514" s="59"/>
      <c r="CY514" s="59">
        <v>0</v>
      </c>
      <c r="CZ514" s="59"/>
      <c r="DA514" s="59"/>
      <c r="DB514" s="59">
        <v>12</v>
      </c>
      <c r="DC514" s="59"/>
      <c r="DD514" s="59"/>
      <c r="DE514" s="59"/>
      <c r="DF514" s="59"/>
      <c r="DG514" s="59">
        <v>2</v>
      </c>
      <c r="DH514" s="59">
        <v>0</v>
      </c>
      <c r="DI514" s="59">
        <v>0</v>
      </c>
      <c r="DJ514" s="59">
        <v>0</v>
      </c>
      <c r="DK514" s="59"/>
      <c r="DL514" s="59"/>
      <c r="DM514" s="59">
        <v>0</v>
      </c>
      <c r="DN514" s="59"/>
      <c r="DO514" s="59">
        <v>0</v>
      </c>
      <c r="DP514" s="59"/>
      <c r="DQ514" s="59"/>
      <c r="DR514" s="59"/>
      <c r="DS514" s="59">
        <v>0</v>
      </c>
      <c r="DT514" s="59">
        <v>4</v>
      </c>
      <c r="DU514" s="59">
        <v>0</v>
      </c>
      <c r="DV514" s="38">
        <f t="shared" si="235"/>
        <v>32</v>
      </c>
      <c r="DW514" s="14" t="str">
        <f t="shared" si="236"/>
        <v/>
      </c>
      <c r="DY514">
        <f t="shared" si="238"/>
        <v>32</v>
      </c>
      <c r="DZ514" t="str">
        <f t="shared" ref="DZ514:DZ527" si="239">IF(DV514-DY514=0,"",DV514-DY514)</f>
        <v/>
      </c>
    </row>
    <row r="515" spans="1:130" customFormat="1">
      <c r="A515" s="210">
        <v>38353</v>
      </c>
      <c r="B515" s="211"/>
      <c r="C515" s="8">
        <v>1</v>
      </c>
      <c r="D515" s="59">
        <v>9</v>
      </c>
      <c r="E515" s="59">
        <v>1</v>
      </c>
      <c r="F515" s="59">
        <v>0</v>
      </c>
      <c r="G515" s="59">
        <v>0</v>
      </c>
      <c r="H515" s="59">
        <v>0</v>
      </c>
      <c r="I515" s="59">
        <v>0</v>
      </c>
      <c r="J515" s="59">
        <v>2</v>
      </c>
      <c r="K515" s="59">
        <v>0</v>
      </c>
      <c r="L515" s="59">
        <v>0</v>
      </c>
      <c r="M515" s="59">
        <v>0</v>
      </c>
      <c r="N515" s="59">
        <v>0</v>
      </c>
      <c r="O515" s="59">
        <v>2</v>
      </c>
      <c r="P515" s="59">
        <v>4</v>
      </c>
      <c r="Q515" s="59">
        <v>0</v>
      </c>
      <c r="R515" s="59">
        <v>0</v>
      </c>
      <c r="S515" s="35">
        <f t="shared" si="237"/>
        <v>19</v>
      </c>
      <c r="T515" s="59"/>
      <c r="U515" s="59">
        <v>2</v>
      </c>
      <c r="V515" s="59">
        <v>2</v>
      </c>
      <c r="W515" s="59">
        <v>0</v>
      </c>
      <c r="X515" s="62">
        <v>0</v>
      </c>
      <c r="Y515" s="10"/>
      <c r="Z515" s="61">
        <v>879616</v>
      </c>
      <c r="AA515" s="59"/>
      <c r="AB515" s="59"/>
      <c r="AC515" s="61">
        <v>1170587</v>
      </c>
      <c r="AD515" s="59"/>
      <c r="AE515" s="35">
        <f t="shared" si="234"/>
        <v>1170587</v>
      </c>
      <c r="AF515" s="10"/>
      <c r="AG515" s="61">
        <v>25</v>
      </c>
      <c r="AH515" s="59">
        <v>75</v>
      </c>
      <c r="AI515" s="59">
        <v>106</v>
      </c>
      <c r="AJ515" s="62"/>
      <c r="AK515" s="10"/>
      <c r="AL515" s="61">
        <v>0</v>
      </c>
      <c r="AM515" s="59">
        <v>60</v>
      </c>
      <c r="AN515" s="35"/>
      <c r="AO515" s="279"/>
      <c r="AP515" s="279"/>
      <c r="AQ515" s="281"/>
      <c r="AR515" s="59">
        <v>159</v>
      </c>
      <c r="AS515" s="59">
        <v>49</v>
      </c>
      <c r="AT515" s="59">
        <v>77</v>
      </c>
      <c r="AU515" s="59">
        <v>19</v>
      </c>
      <c r="AV515" s="62">
        <v>182</v>
      </c>
      <c r="AW515" s="10"/>
      <c r="AX515" s="326">
        <v>38350</v>
      </c>
      <c r="AY515" s="5">
        <v>-3</v>
      </c>
      <c r="AZ515" s="10"/>
      <c r="BA515" s="61">
        <v>1781</v>
      </c>
      <c r="BB515" s="59">
        <v>30939600</v>
      </c>
      <c r="BC515" s="59"/>
      <c r="BD515" s="59"/>
      <c r="BE515" s="59">
        <v>32</v>
      </c>
      <c r="BF515" s="59">
        <v>4</v>
      </c>
      <c r="BG515" s="59">
        <v>0</v>
      </c>
      <c r="BH515" s="351"/>
      <c r="BI515" s="59">
        <v>1458654</v>
      </c>
      <c r="BJ515" s="342">
        <v>38362</v>
      </c>
      <c r="BK515" s="342">
        <v>38364</v>
      </c>
      <c r="BL515" s="320">
        <f>BK515-BJ515</f>
        <v>2</v>
      </c>
      <c r="BM515" s="62"/>
      <c r="BN515" s="10"/>
      <c r="BO515" s="8"/>
      <c r="BP515" s="62">
        <v>154</v>
      </c>
      <c r="BQ515" s="10"/>
      <c r="BR515" s="29">
        <v>2005</v>
      </c>
      <c r="BS515" s="64">
        <v>2005</v>
      </c>
      <c r="BT515" s="14">
        <v>1</v>
      </c>
      <c r="BU515" s="10"/>
      <c r="BV515" s="8">
        <v>0</v>
      </c>
      <c r="BW515" s="59">
        <v>1</v>
      </c>
      <c r="BX515" s="59">
        <v>0</v>
      </c>
      <c r="BY515" s="59"/>
      <c r="BZ515" s="59"/>
      <c r="CA515" s="59"/>
      <c r="CB515" s="59"/>
      <c r="CC515" s="221"/>
      <c r="CD515" s="59">
        <v>0</v>
      </c>
      <c r="CE515" s="317">
        <v>0</v>
      </c>
      <c r="CF515" s="59">
        <v>0</v>
      </c>
      <c r="CG515" s="59">
        <v>0</v>
      </c>
      <c r="CH515" s="59"/>
      <c r="CI515" s="59">
        <v>1</v>
      </c>
      <c r="CJ515" s="59">
        <v>1</v>
      </c>
      <c r="CK515" s="59"/>
      <c r="CL515" s="59"/>
      <c r="CM515" s="59">
        <v>0</v>
      </c>
      <c r="CN515" s="59"/>
      <c r="CO515" s="59">
        <v>6</v>
      </c>
      <c r="CP515" s="317"/>
      <c r="CQ515" s="59"/>
      <c r="CR515" s="59"/>
      <c r="CS515" s="59">
        <v>0</v>
      </c>
      <c r="CT515" s="59">
        <v>4</v>
      </c>
      <c r="CU515" s="59">
        <v>0</v>
      </c>
      <c r="CV515" s="59">
        <v>0</v>
      </c>
      <c r="CW515" s="59"/>
      <c r="CX515" s="59"/>
      <c r="CY515" s="59">
        <v>1</v>
      </c>
      <c r="CZ515" s="59"/>
      <c r="DA515" s="59"/>
      <c r="DB515" s="59">
        <v>0</v>
      </c>
      <c r="DC515" s="59"/>
      <c r="DD515" s="59"/>
      <c r="DE515" s="59"/>
      <c r="DF515" s="59"/>
      <c r="DG515" s="59">
        <v>1</v>
      </c>
      <c r="DH515" s="59">
        <v>2</v>
      </c>
      <c r="DI515" s="59">
        <v>0</v>
      </c>
      <c r="DJ515" s="59">
        <v>0</v>
      </c>
      <c r="DK515" s="59"/>
      <c r="DL515" s="59"/>
      <c r="DM515" s="59">
        <v>0</v>
      </c>
      <c r="DN515" s="59"/>
      <c r="DO515" s="59">
        <v>0</v>
      </c>
      <c r="DP515" s="59"/>
      <c r="DQ515" s="59"/>
      <c r="DR515" s="59"/>
      <c r="DS515" s="59">
        <v>1</v>
      </c>
      <c r="DT515" s="59">
        <v>1</v>
      </c>
      <c r="DU515" s="59">
        <v>0</v>
      </c>
      <c r="DV515" s="38">
        <f t="shared" si="235"/>
        <v>19</v>
      </c>
      <c r="DW515" s="14" t="str">
        <f t="shared" si="236"/>
        <v/>
      </c>
      <c r="DY515">
        <f t="shared" ref="DY515:DY526" si="240">S515</f>
        <v>19</v>
      </c>
      <c r="DZ515" t="str">
        <f t="shared" si="239"/>
        <v/>
      </c>
    </row>
    <row r="516" spans="1:130" customFormat="1">
      <c r="A516" s="210">
        <v>38367</v>
      </c>
      <c r="B516" s="211"/>
      <c r="C516" s="8">
        <v>16</v>
      </c>
      <c r="D516" s="59">
        <v>15</v>
      </c>
      <c r="E516" s="59">
        <v>2</v>
      </c>
      <c r="F516" s="59">
        <v>0</v>
      </c>
      <c r="G516" s="59">
        <v>2</v>
      </c>
      <c r="H516" s="59">
        <v>0</v>
      </c>
      <c r="I516" s="59">
        <v>0</v>
      </c>
      <c r="J516" s="59">
        <v>5</v>
      </c>
      <c r="K516" s="59">
        <v>0</v>
      </c>
      <c r="L516" s="59">
        <v>0</v>
      </c>
      <c r="M516" s="59">
        <v>0</v>
      </c>
      <c r="N516" s="59">
        <v>0</v>
      </c>
      <c r="O516" s="59">
        <v>4</v>
      </c>
      <c r="P516" s="59">
        <v>1</v>
      </c>
      <c r="Q516" s="59">
        <v>0</v>
      </c>
      <c r="R516" s="59">
        <v>0</v>
      </c>
      <c r="S516" s="35">
        <f t="shared" si="237"/>
        <v>45</v>
      </c>
      <c r="T516" s="59"/>
      <c r="U516" s="59">
        <v>12</v>
      </c>
      <c r="V516" s="59">
        <v>10</v>
      </c>
      <c r="W516" s="59">
        <v>0</v>
      </c>
      <c r="X516" s="62">
        <v>0</v>
      </c>
      <c r="Y516" s="10"/>
      <c r="Z516" s="61">
        <v>1549824</v>
      </c>
      <c r="AA516" s="59"/>
      <c r="AB516" s="59"/>
      <c r="AC516" s="61">
        <v>660309</v>
      </c>
      <c r="AD516" s="59"/>
      <c r="AE516" s="35">
        <f t="shared" si="234"/>
        <v>660309</v>
      </c>
      <c r="AF516" s="10"/>
      <c r="AG516" s="61">
        <v>100</v>
      </c>
      <c r="AH516" s="59">
        <v>69</v>
      </c>
      <c r="AI516" s="59">
        <v>178</v>
      </c>
      <c r="AJ516" s="62"/>
      <c r="AK516" s="10"/>
      <c r="AL516" s="8"/>
      <c r="AM516" s="10"/>
      <c r="AN516" s="35"/>
      <c r="AO516" s="279"/>
      <c r="AP516" s="279"/>
      <c r="AQ516" s="281"/>
      <c r="AR516" s="59">
        <v>161</v>
      </c>
      <c r="AS516" s="59">
        <v>51</v>
      </c>
      <c r="AT516" s="59">
        <v>79</v>
      </c>
      <c r="AU516" s="59">
        <v>20</v>
      </c>
      <c r="AV516" s="62">
        <v>156</v>
      </c>
      <c r="AW516" s="10"/>
      <c r="AX516" s="326">
        <v>38365</v>
      </c>
      <c r="AY516" s="5">
        <v>-2</v>
      </c>
      <c r="AZ516" s="10"/>
      <c r="BA516" s="61"/>
      <c r="BB516" s="59"/>
      <c r="BC516" s="59"/>
      <c r="BD516" s="59"/>
      <c r="BE516" s="59"/>
      <c r="BF516" s="59"/>
      <c r="BG516" s="59"/>
      <c r="BH516" s="351"/>
      <c r="BI516" s="59"/>
      <c r="BJ516" s="342"/>
      <c r="BK516" s="342"/>
      <c r="BL516" s="320"/>
      <c r="BM516" s="62"/>
      <c r="BN516" s="10"/>
      <c r="BO516" s="8"/>
      <c r="BP516" s="62"/>
      <c r="BQ516" s="10"/>
      <c r="BR516" s="29">
        <v>2005</v>
      </c>
      <c r="BS516" s="64">
        <v>2005</v>
      </c>
      <c r="BT516" s="14">
        <v>2</v>
      </c>
      <c r="BU516" s="10"/>
      <c r="BV516" s="8">
        <v>15</v>
      </c>
      <c r="BW516" s="59">
        <v>1</v>
      </c>
      <c r="BX516" s="59">
        <v>0</v>
      </c>
      <c r="BY516" s="59"/>
      <c r="BZ516" s="59"/>
      <c r="CA516" s="59"/>
      <c r="CB516" s="59"/>
      <c r="CC516" s="221"/>
      <c r="CD516" s="59">
        <v>5</v>
      </c>
      <c r="CE516" s="317">
        <v>0</v>
      </c>
      <c r="CF516" s="59">
        <v>0</v>
      </c>
      <c r="CG516" s="59">
        <v>0</v>
      </c>
      <c r="CH516" s="59"/>
      <c r="CI516" s="59">
        <v>0</v>
      </c>
      <c r="CJ516" s="59">
        <v>2</v>
      </c>
      <c r="CK516" s="59"/>
      <c r="CL516" s="59"/>
      <c r="CM516" s="59">
        <v>0</v>
      </c>
      <c r="CN516" s="59"/>
      <c r="CO516" s="59">
        <v>2</v>
      </c>
      <c r="CP516" s="317"/>
      <c r="CQ516" s="59"/>
      <c r="CR516" s="59"/>
      <c r="CS516" s="59">
        <v>0</v>
      </c>
      <c r="CT516" s="59">
        <v>2</v>
      </c>
      <c r="CU516" s="59">
        <v>0</v>
      </c>
      <c r="CV516" s="59">
        <v>3</v>
      </c>
      <c r="CW516" s="59"/>
      <c r="CX516" s="59"/>
      <c r="CY516" s="59">
        <v>2</v>
      </c>
      <c r="CZ516" s="59"/>
      <c r="DA516" s="59"/>
      <c r="DB516" s="59">
        <v>0</v>
      </c>
      <c r="DC516" s="59"/>
      <c r="DD516" s="59"/>
      <c r="DE516" s="59"/>
      <c r="DF516" s="59"/>
      <c r="DG516" s="59">
        <v>0</v>
      </c>
      <c r="DH516" s="59">
        <v>0</v>
      </c>
      <c r="DI516" s="59">
        <v>0</v>
      </c>
      <c r="DJ516" s="59">
        <v>10</v>
      </c>
      <c r="DK516" s="59"/>
      <c r="DL516" s="59"/>
      <c r="DM516" s="59">
        <v>0</v>
      </c>
      <c r="DN516" s="59"/>
      <c r="DO516" s="59">
        <v>0</v>
      </c>
      <c r="DP516" s="59"/>
      <c r="DQ516" s="59"/>
      <c r="DR516" s="59"/>
      <c r="DS516" s="59">
        <v>0</v>
      </c>
      <c r="DT516" s="59">
        <v>3</v>
      </c>
      <c r="DU516" s="59">
        <v>0</v>
      </c>
      <c r="DV516" s="38">
        <f t="shared" si="235"/>
        <v>45</v>
      </c>
      <c r="DW516" s="14" t="str">
        <f t="shared" si="236"/>
        <v/>
      </c>
      <c r="DY516">
        <f t="shared" si="240"/>
        <v>45</v>
      </c>
      <c r="DZ516" t="str">
        <f t="shared" si="239"/>
        <v/>
      </c>
    </row>
    <row r="517" spans="1:130" customFormat="1">
      <c r="A517" s="210">
        <v>38384</v>
      </c>
      <c r="B517" s="211"/>
      <c r="C517" s="61">
        <v>1</v>
      </c>
      <c r="D517" s="59">
        <v>11</v>
      </c>
      <c r="E517" s="59">
        <v>3</v>
      </c>
      <c r="F517" s="59">
        <v>0</v>
      </c>
      <c r="G517" s="59">
        <v>4</v>
      </c>
      <c r="H517" s="59">
        <v>0</v>
      </c>
      <c r="I517" s="59">
        <v>0</v>
      </c>
      <c r="J517" s="59">
        <v>5</v>
      </c>
      <c r="K517" s="59">
        <v>1</v>
      </c>
      <c r="L517" s="59">
        <v>0</v>
      </c>
      <c r="M517" s="59">
        <v>0</v>
      </c>
      <c r="N517" s="59">
        <v>0</v>
      </c>
      <c r="O517" s="59">
        <v>1</v>
      </c>
      <c r="P517" s="59">
        <v>1</v>
      </c>
      <c r="Q517" s="59">
        <v>0</v>
      </c>
      <c r="R517" s="59">
        <v>0</v>
      </c>
      <c r="S517" s="35">
        <f t="shared" si="237"/>
        <v>27</v>
      </c>
      <c r="T517" s="59"/>
      <c r="U517" s="59">
        <v>16</v>
      </c>
      <c r="V517" s="59">
        <v>14</v>
      </c>
      <c r="W517" s="59">
        <v>0</v>
      </c>
      <c r="X517" s="62">
        <v>0</v>
      </c>
      <c r="Y517" s="10"/>
      <c r="Z517" s="61">
        <v>811008</v>
      </c>
      <c r="AA517" s="59"/>
      <c r="AB517" s="59"/>
      <c r="AC517" s="61">
        <v>390129</v>
      </c>
      <c r="AD517" s="59"/>
      <c r="AE517" s="35">
        <f t="shared" si="234"/>
        <v>390129</v>
      </c>
      <c r="AF517" s="10"/>
      <c r="AG517" s="61">
        <v>56</v>
      </c>
      <c r="AH517" s="59">
        <v>10</v>
      </c>
      <c r="AI517" s="59">
        <v>78</v>
      </c>
      <c r="AJ517" s="62"/>
      <c r="AK517" s="10"/>
      <c r="AL517" s="8"/>
      <c r="AM517" s="10"/>
      <c r="AN517" s="35"/>
      <c r="AO517" s="279"/>
      <c r="AP517" s="279"/>
      <c r="AQ517" s="281"/>
      <c r="AR517" s="59">
        <v>162</v>
      </c>
      <c r="AS517" s="59"/>
      <c r="AT517" s="59"/>
      <c r="AU517" s="59"/>
      <c r="AV517" s="62"/>
      <c r="AW517" s="10"/>
      <c r="AX517" s="326">
        <v>38383</v>
      </c>
      <c r="AY517" s="5">
        <v>-1</v>
      </c>
      <c r="AZ517" s="10"/>
      <c r="BA517" s="61">
        <v>1783</v>
      </c>
      <c r="BB517" s="59">
        <v>31007993</v>
      </c>
      <c r="BC517" s="59"/>
      <c r="BD517" s="59"/>
      <c r="BE517" s="59">
        <v>68</v>
      </c>
      <c r="BF517" s="59">
        <v>5</v>
      </c>
      <c r="BG517" s="59">
        <v>3</v>
      </c>
      <c r="BH517" s="351"/>
      <c r="BI517" s="59">
        <v>1500165</v>
      </c>
      <c r="BJ517" s="342">
        <v>38393</v>
      </c>
      <c r="BK517" s="342">
        <v>38406</v>
      </c>
      <c r="BL517" s="320">
        <f>BK517-BJ517</f>
        <v>13</v>
      </c>
      <c r="BM517" s="62"/>
      <c r="BN517" s="10"/>
      <c r="BO517" s="8"/>
      <c r="BP517" s="62">
        <v>154</v>
      </c>
      <c r="BQ517" s="10"/>
      <c r="BR517" s="29">
        <v>2005</v>
      </c>
      <c r="BS517" s="64">
        <v>2005</v>
      </c>
      <c r="BT517" s="14">
        <v>3</v>
      </c>
      <c r="BU517" s="10"/>
      <c r="BV517" s="8">
        <v>0</v>
      </c>
      <c r="BW517" s="59">
        <v>1</v>
      </c>
      <c r="BX517" s="59">
        <v>0</v>
      </c>
      <c r="BY517" s="59"/>
      <c r="BZ517" s="59"/>
      <c r="CA517" s="59"/>
      <c r="CB517" s="59"/>
      <c r="CC517" s="221"/>
      <c r="CD517" s="59">
        <v>1</v>
      </c>
      <c r="CE517" s="317">
        <v>0</v>
      </c>
      <c r="CF517" s="59">
        <v>0</v>
      </c>
      <c r="CG517" s="59">
        <v>0</v>
      </c>
      <c r="CH517" s="59"/>
      <c r="CI517" s="59">
        <v>0</v>
      </c>
      <c r="CJ517" s="59">
        <v>6</v>
      </c>
      <c r="CK517" s="59"/>
      <c r="CL517" s="59"/>
      <c r="CM517" s="59">
        <v>0</v>
      </c>
      <c r="CN517" s="59"/>
      <c r="CO517" s="59">
        <v>2</v>
      </c>
      <c r="CP517" s="317"/>
      <c r="CQ517" s="59"/>
      <c r="CR517" s="59"/>
      <c r="CS517" s="59">
        <v>0</v>
      </c>
      <c r="CT517" s="59">
        <v>9</v>
      </c>
      <c r="CU517" s="59">
        <v>0</v>
      </c>
      <c r="CV517" s="59">
        <v>2</v>
      </c>
      <c r="CW517" s="59"/>
      <c r="CX517" s="59"/>
      <c r="CY517" s="59">
        <v>0</v>
      </c>
      <c r="CZ517" s="59"/>
      <c r="DA517" s="59"/>
      <c r="DB517" s="59">
        <v>3</v>
      </c>
      <c r="DC517" s="59"/>
      <c r="DD517" s="59"/>
      <c r="DE517" s="59"/>
      <c r="DF517" s="59"/>
      <c r="DG517" s="59">
        <v>3</v>
      </c>
      <c r="DH517" s="59">
        <v>0</v>
      </c>
      <c r="DI517" s="59">
        <v>0</v>
      </c>
      <c r="DJ517" s="59">
        <v>0</v>
      </c>
      <c r="DK517" s="59"/>
      <c r="DL517" s="59"/>
      <c r="DM517" s="59">
        <v>0</v>
      </c>
      <c r="DN517" s="59"/>
      <c r="DO517" s="59">
        <v>0</v>
      </c>
      <c r="DP517" s="59"/>
      <c r="DQ517" s="59"/>
      <c r="DR517" s="59"/>
      <c r="DS517" s="59">
        <v>0</v>
      </c>
      <c r="DT517" s="59">
        <v>0</v>
      </c>
      <c r="DU517" s="59">
        <v>0</v>
      </c>
      <c r="DV517" s="38">
        <f t="shared" si="235"/>
        <v>27</v>
      </c>
      <c r="DW517" s="14" t="str">
        <f t="shared" si="236"/>
        <v/>
      </c>
      <c r="DY517">
        <f t="shared" si="240"/>
        <v>27</v>
      </c>
      <c r="DZ517" t="str">
        <f t="shared" si="239"/>
        <v/>
      </c>
    </row>
    <row r="518" spans="1:130" customFormat="1">
      <c r="A518" s="210">
        <v>38398</v>
      </c>
      <c r="B518" s="211"/>
      <c r="C518" s="61">
        <v>0</v>
      </c>
      <c r="D518" s="59">
        <v>10</v>
      </c>
      <c r="E518" s="59">
        <v>0</v>
      </c>
      <c r="F518" s="59">
        <v>0</v>
      </c>
      <c r="G518" s="59">
        <v>1</v>
      </c>
      <c r="H518" s="59">
        <v>0</v>
      </c>
      <c r="I518" s="59">
        <v>0</v>
      </c>
      <c r="J518" s="59">
        <v>18</v>
      </c>
      <c r="K518" s="59">
        <v>0</v>
      </c>
      <c r="L518" s="59">
        <v>0</v>
      </c>
      <c r="M518" s="59">
        <v>0</v>
      </c>
      <c r="N518" s="59">
        <v>0</v>
      </c>
      <c r="O518" s="59">
        <v>3</v>
      </c>
      <c r="P518" s="59">
        <v>1</v>
      </c>
      <c r="Q518" s="59">
        <v>0</v>
      </c>
      <c r="R518" s="59">
        <v>0</v>
      </c>
      <c r="S518" s="35">
        <f t="shared" si="237"/>
        <v>33</v>
      </c>
      <c r="T518" s="59"/>
      <c r="U518" s="59">
        <v>16</v>
      </c>
      <c r="V518" s="59">
        <v>11</v>
      </c>
      <c r="W518" s="59">
        <v>0</v>
      </c>
      <c r="X518" s="62">
        <v>1</v>
      </c>
      <c r="Y518" s="10"/>
      <c r="Z518" s="61">
        <v>865729</v>
      </c>
      <c r="AA518" s="59"/>
      <c r="AB518" s="59"/>
      <c r="AC518" s="61">
        <v>781425</v>
      </c>
      <c r="AD518" s="59"/>
      <c r="AE518" s="35">
        <f t="shared" si="234"/>
        <v>781425</v>
      </c>
      <c r="AF518" s="10"/>
      <c r="AG518" s="61">
        <v>48</v>
      </c>
      <c r="AH518" s="59">
        <v>12</v>
      </c>
      <c r="AI518" s="59">
        <v>78</v>
      </c>
      <c r="AJ518" s="62"/>
      <c r="AK518" s="10"/>
      <c r="AL518" s="8"/>
      <c r="AM518" s="10"/>
      <c r="AN518" s="35"/>
      <c r="AO518" s="279"/>
      <c r="AP518" s="279"/>
      <c r="AQ518" s="281"/>
      <c r="AR518" s="59">
        <v>166</v>
      </c>
      <c r="AS518" s="59">
        <v>49</v>
      </c>
      <c r="AT518" s="59">
        <v>78</v>
      </c>
      <c r="AU518" s="59">
        <v>20</v>
      </c>
      <c r="AV518" s="62">
        <v>168</v>
      </c>
      <c r="AW518" s="10"/>
      <c r="AX518" s="326">
        <v>38397</v>
      </c>
      <c r="AY518" s="5">
        <v>-1</v>
      </c>
      <c r="AZ518" s="10"/>
      <c r="BA518" s="61"/>
      <c r="BB518" s="59"/>
      <c r="BC518" s="59"/>
      <c r="BD518" s="59"/>
      <c r="BE518" s="59"/>
      <c r="BF518" s="59"/>
      <c r="BG518" s="59"/>
      <c r="BH518" s="351"/>
      <c r="BI518" s="59"/>
      <c r="BJ518" s="342"/>
      <c r="BK518" s="342"/>
      <c r="BL518" s="320"/>
      <c r="BM518" s="62"/>
      <c r="BN518" s="10"/>
      <c r="BO518" s="8"/>
      <c r="BP518" s="62"/>
      <c r="BQ518" s="10"/>
      <c r="BR518" s="29">
        <v>2005</v>
      </c>
      <c r="BS518" s="64">
        <v>2005</v>
      </c>
      <c r="BT518" s="14">
        <v>4</v>
      </c>
      <c r="BU518" s="10"/>
      <c r="BV518" s="8">
        <v>0</v>
      </c>
      <c r="BW518" s="59">
        <v>3</v>
      </c>
      <c r="BX518" s="59">
        <v>1</v>
      </c>
      <c r="BY518" s="59"/>
      <c r="BZ518" s="59"/>
      <c r="CA518" s="59"/>
      <c r="CB518" s="59"/>
      <c r="CC518" s="221"/>
      <c r="CD518" s="59">
        <v>2</v>
      </c>
      <c r="CE518" s="317">
        <v>0</v>
      </c>
      <c r="CF518" s="59">
        <v>0</v>
      </c>
      <c r="CG518" s="59">
        <v>0</v>
      </c>
      <c r="CH518" s="59"/>
      <c r="CI518" s="59">
        <v>1</v>
      </c>
      <c r="CJ518" s="59">
        <v>1</v>
      </c>
      <c r="CK518" s="59"/>
      <c r="CL518" s="59"/>
      <c r="CM518" s="59">
        <v>0</v>
      </c>
      <c r="CN518" s="59"/>
      <c r="CO518" s="59">
        <v>10</v>
      </c>
      <c r="CP518" s="317"/>
      <c r="CQ518" s="59"/>
      <c r="CR518" s="59"/>
      <c r="CS518" s="59">
        <v>0</v>
      </c>
      <c r="CT518" s="59">
        <v>1</v>
      </c>
      <c r="CU518" s="59">
        <v>0</v>
      </c>
      <c r="CV518" s="59">
        <v>3</v>
      </c>
      <c r="CW518" s="59"/>
      <c r="CX518" s="59"/>
      <c r="CY518" s="59">
        <v>0</v>
      </c>
      <c r="CZ518" s="59"/>
      <c r="DA518" s="59"/>
      <c r="DB518" s="59">
        <v>3</v>
      </c>
      <c r="DC518" s="59"/>
      <c r="DD518" s="59"/>
      <c r="DE518" s="59"/>
      <c r="DF518" s="59"/>
      <c r="DG518" s="59">
        <v>1</v>
      </c>
      <c r="DH518" s="59">
        <v>0</v>
      </c>
      <c r="DI518" s="59">
        <v>2</v>
      </c>
      <c r="DJ518" s="59">
        <v>0</v>
      </c>
      <c r="DK518" s="59"/>
      <c r="DL518" s="59"/>
      <c r="DM518" s="59">
        <v>0</v>
      </c>
      <c r="DN518" s="59"/>
      <c r="DO518" s="59">
        <v>0</v>
      </c>
      <c r="DP518" s="59"/>
      <c r="DQ518" s="59"/>
      <c r="DR518" s="59"/>
      <c r="DS518" s="59">
        <v>2</v>
      </c>
      <c r="DT518" s="59">
        <v>3</v>
      </c>
      <c r="DU518" s="59">
        <v>0</v>
      </c>
      <c r="DV518" s="38">
        <f t="shared" si="235"/>
        <v>33</v>
      </c>
      <c r="DW518" s="14" t="str">
        <f t="shared" si="236"/>
        <v/>
      </c>
      <c r="DY518">
        <f t="shared" si="240"/>
        <v>33</v>
      </c>
      <c r="DZ518" t="str">
        <f t="shared" si="239"/>
        <v/>
      </c>
    </row>
    <row r="519" spans="1:130" customFormat="1">
      <c r="A519" s="210">
        <v>38412</v>
      </c>
      <c r="B519" s="211"/>
      <c r="C519" s="61">
        <v>1</v>
      </c>
      <c r="D519" s="59">
        <v>9</v>
      </c>
      <c r="E519" s="59">
        <v>0</v>
      </c>
      <c r="F519" s="59">
        <v>0</v>
      </c>
      <c r="G519" s="59">
        <v>0</v>
      </c>
      <c r="H519" s="59">
        <v>0</v>
      </c>
      <c r="I519" s="59">
        <v>0</v>
      </c>
      <c r="J519" s="59">
        <v>6</v>
      </c>
      <c r="K519" s="59">
        <v>1</v>
      </c>
      <c r="L519" s="59">
        <v>0</v>
      </c>
      <c r="M519" s="59">
        <v>0</v>
      </c>
      <c r="N519" s="59">
        <v>0</v>
      </c>
      <c r="O519" s="59">
        <v>2</v>
      </c>
      <c r="P519" s="59">
        <v>0</v>
      </c>
      <c r="Q519" s="59">
        <v>0</v>
      </c>
      <c r="R519" s="59">
        <v>0</v>
      </c>
      <c r="S519" s="35">
        <f t="shared" si="237"/>
        <v>19</v>
      </c>
      <c r="T519" s="59"/>
      <c r="U519" s="59">
        <v>8</v>
      </c>
      <c r="V519" s="59">
        <v>8</v>
      </c>
      <c r="W519" s="59">
        <v>0</v>
      </c>
      <c r="X519" s="62">
        <v>0</v>
      </c>
      <c r="Y519" s="10"/>
      <c r="Z519" s="61">
        <v>677888</v>
      </c>
      <c r="AA519" s="59"/>
      <c r="AB519" s="59"/>
      <c r="AC519" s="61">
        <v>242683</v>
      </c>
      <c r="AD519" s="59"/>
      <c r="AE519" s="35">
        <f t="shared" si="234"/>
        <v>242683</v>
      </c>
      <c r="AF519" s="10"/>
      <c r="AG519" s="61">
        <v>30</v>
      </c>
      <c r="AH519" s="59">
        <v>13</v>
      </c>
      <c r="AI519" s="59">
        <v>52</v>
      </c>
      <c r="AJ519" s="62"/>
      <c r="AK519" s="10"/>
      <c r="AL519" s="8"/>
      <c r="AM519" s="10"/>
      <c r="AN519" s="35"/>
      <c r="AO519" s="279"/>
      <c r="AP519" s="279"/>
      <c r="AQ519" s="281"/>
      <c r="AR519" s="59">
        <v>166</v>
      </c>
      <c r="AS519" s="59">
        <v>51</v>
      </c>
      <c r="AT519" s="59">
        <v>78</v>
      </c>
      <c r="AU519" s="59">
        <v>21</v>
      </c>
      <c r="AV519" s="62">
        <v>171</v>
      </c>
      <c r="AW519" s="10"/>
      <c r="AX519" s="326">
        <v>38408</v>
      </c>
      <c r="AY519" s="5">
        <v>-4</v>
      </c>
      <c r="AZ519" s="10"/>
      <c r="BA519" s="61">
        <v>1783</v>
      </c>
      <c r="BB519" s="59">
        <v>31205060</v>
      </c>
      <c r="BC519" s="59"/>
      <c r="BD519" s="59"/>
      <c r="BE519" s="59">
        <v>19</v>
      </c>
      <c r="BF519" s="59">
        <v>2</v>
      </c>
      <c r="BG519" s="59">
        <v>2</v>
      </c>
      <c r="BH519" s="351"/>
      <c r="BI519" s="59">
        <v>832994</v>
      </c>
      <c r="BJ519" s="342">
        <v>38421</v>
      </c>
      <c r="BK519" s="342">
        <v>38428</v>
      </c>
      <c r="BL519" s="320">
        <f>BK519-BJ519</f>
        <v>7</v>
      </c>
      <c r="BM519" s="62"/>
      <c r="BN519" s="10"/>
      <c r="BO519" s="8"/>
      <c r="BP519" s="62">
        <v>154</v>
      </c>
      <c r="BQ519" s="10"/>
      <c r="BR519" s="29">
        <v>2005</v>
      </c>
      <c r="BS519" s="64">
        <v>2005</v>
      </c>
      <c r="BT519" s="14">
        <v>5</v>
      </c>
      <c r="BU519" s="10"/>
      <c r="BV519" s="8">
        <v>1</v>
      </c>
      <c r="BW519" s="59">
        <v>5</v>
      </c>
      <c r="BX519" s="59">
        <v>0</v>
      </c>
      <c r="BY519" s="59"/>
      <c r="BZ519" s="59"/>
      <c r="CA519" s="59"/>
      <c r="CB519" s="59"/>
      <c r="CC519" s="221"/>
      <c r="CD519" s="59">
        <v>1</v>
      </c>
      <c r="CE519" s="317">
        <v>0</v>
      </c>
      <c r="CF519" s="59">
        <v>0</v>
      </c>
      <c r="CG519" s="59">
        <v>0</v>
      </c>
      <c r="CH519" s="59"/>
      <c r="CI519" s="59">
        <v>6</v>
      </c>
      <c r="CJ519" s="59">
        <v>3</v>
      </c>
      <c r="CK519" s="59"/>
      <c r="CL519" s="59"/>
      <c r="CM519" s="59">
        <v>0</v>
      </c>
      <c r="CN519" s="59"/>
      <c r="CO519" s="59">
        <v>2</v>
      </c>
      <c r="CP519" s="317"/>
      <c r="CQ519" s="59"/>
      <c r="CR519" s="59"/>
      <c r="CS519" s="59">
        <v>0</v>
      </c>
      <c r="CT519" s="59">
        <v>0</v>
      </c>
      <c r="CU519" s="59">
        <v>0</v>
      </c>
      <c r="CV519" s="59">
        <v>1</v>
      </c>
      <c r="CW519" s="59"/>
      <c r="CX519" s="59"/>
      <c r="CY519" s="59">
        <v>0</v>
      </c>
      <c r="CZ519" s="59"/>
      <c r="DA519" s="59"/>
      <c r="DB519" s="59">
        <v>0</v>
      </c>
      <c r="DC519" s="59"/>
      <c r="DD519" s="59"/>
      <c r="DE519" s="59"/>
      <c r="DF519" s="59"/>
      <c r="DG519" s="59">
        <v>0</v>
      </c>
      <c r="DH519" s="59">
        <v>0</v>
      </c>
      <c r="DI519" s="59">
        <v>0</v>
      </c>
      <c r="DJ519" s="59">
        <v>0</v>
      </c>
      <c r="DK519" s="59"/>
      <c r="DL519" s="59"/>
      <c r="DM519" s="59">
        <v>0</v>
      </c>
      <c r="DN519" s="59"/>
      <c r="DO519" s="59">
        <v>0</v>
      </c>
      <c r="DP519" s="59"/>
      <c r="DQ519" s="59"/>
      <c r="DR519" s="59"/>
      <c r="DS519" s="59">
        <v>0</v>
      </c>
      <c r="DT519" s="59">
        <v>0</v>
      </c>
      <c r="DU519" s="59">
        <v>0</v>
      </c>
      <c r="DV519" s="38">
        <f t="shared" si="235"/>
        <v>19</v>
      </c>
      <c r="DW519" s="14" t="str">
        <f t="shared" si="236"/>
        <v/>
      </c>
      <c r="DY519">
        <f t="shared" si="240"/>
        <v>19</v>
      </c>
      <c r="DZ519" t="str">
        <f t="shared" si="239"/>
        <v/>
      </c>
    </row>
    <row r="520" spans="1:130" customFormat="1">
      <c r="A520" s="210">
        <v>38426</v>
      </c>
      <c r="B520" s="211"/>
      <c r="C520" s="61">
        <v>2</v>
      </c>
      <c r="D520" s="59">
        <v>10</v>
      </c>
      <c r="E520" s="59">
        <v>0</v>
      </c>
      <c r="F520" s="59">
        <v>0</v>
      </c>
      <c r="G520" s="59">
        <v>2</v>
      </c>
      <c r="H520" s="59">
        <v>0</v>
      </c>
      <c r="I520" s="59">
        <v>0</v>
      </c>
      <c r="J520" s="59">
        <v>5</v>
      </c>
      <c r="K520" s="59">
        <v>0</v>
      </c>
      <c r="L520" s="59">
        <v>0</v>
      </c>
      <c r="M520" s="59">
        <v>0</v>
      </c>
      <c r="N520" s="59">
        <v>0</v>
      </c>
      <c r="O520" s="59">
        <v>8</v>
      </c>
      <c r="P520" s="59">
        <v>0</v>
      </c>
      <c r="Q520" s="59">
        <v>0</v>
      </c>
      <c r="R520" s="59">
        <v>0</v>
      </c>
      <c r="S520" s="35">
        <f t="shared" si="237"/>
        <v>27</v>
      </c>
      <c r="T520" s="59"/>
      <c r="U520" s="59">
        <v>22</v>
      </c>
      <c r="V520" s="59">
        <v>16</v>
      </c>
      <c r="W520" s="59">
        <v>0</v>
      </c>
      <c r="X520" s="62">
        <v>0</v>
      </c>
      <c r="Y520" s="10"/>
      <c r="Z520" s="61">
        <v>829952</v>
      </c>
      <c r="AA520" s="59"/>
      <c r="AB520" s="59"/>
      <c r="AC520" s="61">
        <v>714341</v>
      </c>
      <c r="AD520" s="59"/>
      <c r="AE520" s="35">
        <f t="shared" si="234"/>
        <v>714341</v>
      </c>
      <c r="AF520" s="10"/>
      <c r="AG520" s="61">
        <v>33</v>
      </c>
      <c r="AH520" s="59">
        <v>17</v>
      </c>
      <c r="AI520" s="59">
        <v>58</v>
      </c>
      <c r="AJ520" s="62"/>
      <c r="AK520" s="10"/>
      <c r="AL520" s="8"/>
      <c r="AM520" s="10"/>
      <c r="AN520" s="35"/>
      <c r="AO520" s="279"/>
      <c r="AP520" s="279"/>
      <c r="AQ520" s="281"/>
      <c r="AR520" s="59">
        <v>165</v>
      </c>
      <c r="AS520" s="59">
        <v>50</v>
      </c>
      <c r="AT520" s="59">
        <v>80</v>
      </c>
      <c r="AU520" s="59">
        <v>21</v>
      </c>
      <c r="AV520" s="62">
        <v>173</v>
      </c>
      <c r="AW520" s="10"/>
      <c r="AX520" s="326">
        <v>38425</v>
      </c>
      <c r="AY520" s="5">
        <v>-1</v>
      </c>
      <c r="AZ520" s="10"/>
      <c r="BA520" s="61"/>
      <c r="BB520" s="59"/>
      <c r="BC520" s="59"/>
      <c r="BD520" s="59"/>
      <c r="BE520" s="59"/>
      <c r="BF520" s="59"/>
      <c r="BG520" s="59"/>
      <c r="BH520" s="351"/>
      <c r="BI520" s="59"/>
      <c r="BJ520" s="342"/>
      <c r="BK520" s="342"/>
      <c r="BL520" s="320"/>
      <c r="BM520" s="62"/>
      <c r="BN520" s="10"/>
      <c r="BO520" s="8"/>
      <c r="BP520" s="62"/>
      <c r="BQ520" s="10"/>
      <c r="BR520" s="29">
        <v>2005</v>
      </c>
      <c r="BS520" s="64">
        <v>2005</v>
      </c>
      <c r="BT520" s="14">
        <v>6</v>
      </c>
      <c r="BU520" s="10"/>
      <c r="BV520" s="8">
        <v>0</v>
      </c>
      <c r="BW520" s="59">
        <v>0</v>
      </c>
      <c r="BX520" s="59">
        <v>3</v>
      </c>
      <c r="BY520" s="59"/>
      <c r="BZ520" s="59"/>
      <c r="CA520" s="59"/>
      <c r="CB520" s="59"/>
      <c r="CC520" s="221"/>
      <c r="CD520" s="59">
        <v>5</v>
      </c>
      <c r="CE520" s="317">
        <v>0</v>
      </c>
      <c r="CF520" s="59">
        <v>0</v>
      </c>
      <c r="CG520" s="59">
        <v>0</v>
      </c>
      <c r="CH520" s="59"/>
      <c r="CI520" s="59">
        <v>1</v>
      </c>
      <c r="CJ520" s="59">
        <v>0</v>
      </c>
      <c r="CK520" s="59"/>
      <c r="CL520" s="59"/>
      <c r="CM520" s="59">
        <v>0</v>
      </c>
      <c r="CN520" s="59"/>
      <c r="CO520" s="59">
        <v>2</v>
      </c>
      <c r="CP520" s="317"/>
      <c r="CQ520" s="59"/>
      <c r="CR520" s="59"/>
      <c r="CS520" s="59">
        <v>0</v>
      </c>
      <c r="CT520" s="59">
        <v>1</v>
      </c>
      <c r="CU520" s="59">
        <v>0</v>
      </c>
      <c r="CV520" s="59">
        <v>6</v>
      </c>
      <c r="CW520" s="59"/>
      <c r="CX520" s="59"/>
      <c r="CY520" s="59">
        <v>0</v>
      </c>
      <c r="CZ520" s="59"/>
      <c r="DA520" s="59"/>
      <c r="DB520" s="59">
        <v>1</v>
      </c>
      <c r="DC520" s="59"/>
      <c r="DD520" s="59"/>
      <c r="DE520" s="59"/>
      <c r="DF520" s="59"/>
      <c r="DG520" s="59">
        <v>1</v>
      </c>
      <c r="DH520" s="59">
        <v>1</v>
      </c>
      <c r="DI520" s="59">
        <v>0</v>
      </c>
      <c r="DJ520" s="59">
        <v>0</v>
      </c>
      <c r="DK520" s="59"/>
      <c r="DL520" s="59"/>
      <c r="DM520" s="59">
        <v>0</v>
      </c>
      <c r="DN520" s="59"/>
      <c r="DO520" s="59">
        <v>0</v>
      </c>
      <c r="DP520" s="59"/>
      <c r="DQ520" s="59"/>
      <c r="DR520" s="59"/>
      <c r="DS520" s="59">
        <v>3</v>
      </c>
      <c r="DT520" s="59">
        <v>3</v>
      </c>
      <c r="DU520" s="59">
        <v>0</v>
      </c>
      <c r="DV520" s="38">
        <f t="shared" si="235"/>
        <v>27</v>
      </c>
      <c r="DW520" s="14" t="str">
        <f t="shared" si="236"/>
        <v/>
      </c>
      <c r="DY520">
        <f t="shared" si="240"/>
        <v>27</v>
      </c>
      <c r="DZ520" t="str">
        <f t="shared" si="239"/>
        <v/>
      </c>
    </row>
    <row r="521" spans="1:130" customFormat="1">
      <c r="A521" s="210">
        <v>38443</v>
      </c>
      <c r="B521" s="211"/>
      <c r="C521" s="61">
        <v>5</v>
      </c>
      <c r="D521" s="59">
        <v>21</v>
      </c>
      <c r="E521" s="59">
        <v>1</v>
      </c>
      <c r="F521" s="59">
        <v>1</v>
      </c>
      <c r="G521" s="59">
        <v>0</v>
      </c>
      <c r="H521" s="59">
        <v>0</v>
      </c>
      <c r="I521" s="59">
        <v>0</v>
      </c>
      <c r="J521" s="59">
        <v>5</v>
      </c>
      <c r="K521" s="59">
        <v>0</v>
      </c>
      <c r="L521" s="59">
        <v>0</v>
      </c>
      <c r="M521" s="59">
        <v>0</v>
      </c>
      <c r="N521" s="59">
        <v>0</v>
      </c>
      <c r="O521" s="59">
        <v>2</v>
      </c>
      <c r="P521" s="59">
        <v>1</v>
      </c>
      <c r="Q521" s="59">
        <v>0</v>
      </c>
      <c r="R521" s="59">
        <v>0</v>
      </c>
      <c r="S521" s="35">
        <f t="shared" si="237"/>
        <v>36</v>
      </c>
      <c r="T521" s="59"/>
      <c r="U521" s="59">
        <v>52</v>
      </c>
      <c r="V521" s="59">
        <v>32</v>
      </c>
      <c r="W521" s="59">
        <v>0</v>
      </c>
      <c r="X521" s="62">
        <v>0</v>
      </c>
      <c r="Y521" s="10"/>
      <c r="Z521" s="61">
        <v>1343488</v>
      </c>
      <c r="AA521" s="59"/>
      <c r="AB521" s="59"/>
      <c r="AC521" s="61">
        <v>502155</v>
      </c>
      <c r="AD521" s="59"/>
      <c r="AE521" s="35">
        <f t="shared" si="234"/>
        <v>502155</v>
      </c>
      <c r="AF521" s="10"/>
      <c r="AG521" s="61">
        <v>72</v>
      </c>
      <c r="AH521" s="59">
        <v>22</v>
      </c>
      <c r="AI521" s="59">
        <v>108</v>
      </c>
      <c r="AJ521" s="62"/>
      <c r="AK521" s="10"/>
      <c r="AL521" s="8">
        <v>0</v>
      </c>
      <c r="AM521" s="59">
        <v>60</v>
      </c>
      <c r="AN521" s="35"/>
      <c r="AO521" s="279"/>
      <c r="AP521" s="279"/>
      <c r="AQ521" s="281"/>
      <c r="AR521" s="59">
        <v>156</v>
      </c>
      <c r="AS521" s="59"/>
      <c r="AT521" s="59"/>
      <c r="AU521" s="59"/>
      <c r="AV521" s="62"/>
      <c r="AW521" s="10"/>
      <c r="AX521" s="326">
        <v>38442</v>
      </c>
      <c r="AY521" s="5">
        <v>-1</v>
      </c>
      <c r="AZ521" s="10"/>
      <c r="BA521" s="61">
        <v>1792</v>
      </c>
      <c r="BB521" s="59">
        <v>32365525</v>
      </c>
      <c r="BC521" s="59"/>
      <c r="BD521" s="59"/>
      <c r="BE521" s="59">
        <v>65</v>
      </c>
      <c r="BF521" s="59">
        <v>14</v>
      </c>
      <c r="BG521" s="59">
        <v>5</v>
      </c>
      <c r="BH521" s="351"/>
      <c r="BI521" s="59">
        <v>2277204</v>
      </c>
      <c r="BJ521" s="342">
        <v>38452</v>
      </c>
      <c r="BK521" s="342">
        <v>38518</v>
      </c>
      <c r="BL521" s="320">
        <f>BK521-BJ521</f>
        <v>66</v>
      </c>
      <c r="BM521" s="62"/>
      <c r="BN521" s="10"/>
      <c r="BO521" s="8"/>
      <c r="BP521" s="62">
        <v>154</v>
      </c>
      <c r="BQ521" s="10"/>
      <c r="BR521" s="29">
        <v>2005</v>
      </c>
      <c r="BS521" s="64">
        <v>2005</v>
      </c>
      <c r="BT521" s="14">
        <v>7</v>
      </c>
      <c r="BU521" s="10"/>
      <c r="BV521" s="8">
        <v>0</v>
      </c>
      <c r="BW521" s="59">
        <v>0</v>
      </c>
      <c r="BX521" s="59">
        <v>0</v>
      </c>
      <c r="BY521" s="59"/>
      <c r="BZ521" s="59"/>
      <c r="CA521" s="59"/>
      <c r="CB521" s="59"/>
      <c r="CC521" s="221"/>
      <c r="CD521" s="59">
        <v>2</v>
      </c>
      <c r="CE521" s="317">
        <v>0</v>
      </c>
      <c r="CF521" s="59">
        <v>0</v>
      </c>
      <c r="CG521" s="59">
        <v>0</v>
      </c>
      <c r="CH521" s="59"/>
      <c r="CI521" s="59">
        <v>1</v>
      </c>
      <c r="CJ521" s="59">
        <v>21</v>
      </c>
      <c r="CK521" s="59"/>
      <c r="CL521" s="59"/>
      <c r="CM521" s="59">
        <v>0</v>
      </c>
      <c r="CN521" s="59"/>
      <c r="CO521" s="59">
        <v>1</v>
      </c>
      <c r="CP521" s="317"/>
      <c r="CQ521" s="59"/>
      <c r="CR521" s="59"/>
      <c r="CS521" s="59">
        <v>0</v>
      </c>
      <c r="CT521" s="59">
        <v>1</v>
      </c>
      <c r="CU521" s="59">
        <v>0</v>
      </c>
      <c r="CV521" s="59">
        <v>0</v>
      </c>
      <c r="CW521" s="59"/>
      <c r="CX521" s="59"/>
      <c r="CY521" s="59">
        <v>0</v>
      </c>
      <c r="CZ521" s="59"/>
      <c r="DA521" s="59"/>
      <c r="DB521" s="59">
        <v>3</v>
      </c>
      <c r="DC521" s="59"/>
      <c r="DD521" s="59"/>
      <c r="DE521" s="59"/>
      <c r="DF521" s="59"/>
      <c r="DG521" s="59">
        <v>1</v>
      </c>
      <c r="DH521" s="59">
        <v>0</v>
      </c>
      <c r="DI521" s="59">
        <v>0</v>
      </c>
      <c r="DJ521" s="59">
        <v>0</v>
      </c>
      <c r="DK521" s="59"/>
      <c r="DL521" s="59"/>
      <c r="DM521" s="59">
        <v>1</v>
      </c>
      <c r="DN521" s="59"/>
      <c r="DO521" s="59">
        <v>0</v>
      </c>
      <c r="DP521" s="59"/>
      <c r="DQ521" s="59"/>
      <c r="DR521" s="59"/>
      <c r="DS521" s="59">
        <v>2</v>
      </c>
      <c r="DT521" s="59">
        <v>3</v>
      </c>
      <c r="DU521" s="59">
        <v>0</v>
      </c>
      <c r="DV521" s="38">
        <f t="shared" si="235"/>
        <v>36</v>
      </c>
      <c r="DW521" s="14" t="str">
        <f t="shared" si="236"/>
        <v/>
      </c>
      <c r="DY521">
        <f t="shared" si="240"/>
        <v>36</v>
      </c>
      <c r="DZ521" t="str">
        <f t="shared" si="239"/>
        <v/>
      </c>
    </row>
    <row r="522" spans="1:130" customFormat="1">
      <c r="A522" s="210">
        <v>38457</v>
      </c>
      <c r="B522" s="211"/>
      <c r="C522" s="61">
        <v>5</v>
      </c>
      <c r="D522" s="59">
        <v>7</v>
      </c>
      <c r="E522" s="59">
        <v>3</v>
      </c>
      <c r="F522" s="59">
        <v>0</v>
      </c>
      <c r="G522" s="59">
        <v>2</v>
      </c>
      <c r="H522" s="59">
        <v>1</v>
      </c>
      <c r="I522" s="59">
        <v>0</v>
      </c>
      <c r="J522" s="59">
        <v>8</v>
      </c>
      <c r="K522" s="59">
        <v>2</v>
      </c>
      <c r="L522" s="59">
        <v>0</v>
      </c>
      <c r="M522" s="59">
        <v>0</v>
      </c>
      <c r="N522" s="59">
        <v>0</v>
      </c>
      <c r="O522" s="59">
        <v>5</v>
      </c>
      <c r="P522" s="59">
        <v>0</v>
      </c>
      <c r="Q522" s="59">
        <v>0</v>
      </c>
      <c r="R522" s="59">
        <v>0</v>
      </c>
      <c r="S522" s="35">
        <f t="shared" si="237"/>
        <v>33</v>
      </c>
      <c r="T522" s="59"/>
      <c r="U522" s="59">
        <v>19</v>
      </c>
      <c r="V522" s="59">
        <v>15</v>
      </c>
      <c r="W522" s="59">
        <v>0</v>
      </c>
      <c r="X522" s="62">
        <v>0</v>
      </c>
      <c r="Y522" s="10"/>
      <c r="Z522" s="61">
        <v>1220608</v>
      </c>
      <c r="AA522" s="59"/>
      <c r="AB522" s="59"/>
      <c r="AC522" s="61">
        <v>424753</v>
      </c>
      <c r="AD522" s="59"/>
      <c r="AE522" s="35">
        <f t="shared" si="234"/>
        <v>424753</v>
      </c>
      <c r="AF522" s="10"/>
      <c r="AG522" s="61">
        <v>55</v>
      </c>
      <c r="AH522" s="59">
        <v>24</v>
      </c>
      <c r="AI522" s="59">
        <v>92</v>
      </c>
      <c r="AJ522" s="62"/>
      <c r="AK522" s="10"/>
      <c r="AL522" s="8"/>
      <c r="AM522" s="10"/>
      <c r="AN522" s="35"/>
      <c r="AO522" s="279"/>
      <c r="AP522" s="279"/>
      <c r="AQ522" s="281"/>
      <c r="AR522" s="59">
        <v>156</v>
      </c>
      <c r="AS522" s="59">
        <v>52</v>
      </c>
      <c r="AT522" s="59">
        <v>82</v>
      </c>
      <c r="AU522" s="59">
        <v>21</v>
      </c>
      <c r="AV522" s="62">
        <v>179</v>
      </c>
      <c r="AW522" s="10"/>
      <c r="AX522" s="326">
        <v>38455</v>
      </c>
      <c r="AY522" s="5">
        <v>-2</v>
      </c>
      <c r="AZ522" s="10"/>
      <c r="BA522" s="61"/>
      <c r="BB522" s="59"/>
      <c r="BC522" s="59"/>
      <c r="BD522" s="59"/>
      <c r="BE522" s="59"/>
      <c r="BF522" s="59"/>
      <c r="BG522" s="59"/>
      <c r="BH522" s="351"/>
      <c r="BI522" s="59"/>
      <c r="BJ522" s="342"/>
      <c r="BK522" s="342"/>
      <c r="BL522" s="320"/>
      <c r="BM522" s="62"/>
      <c r="BN522" s="10"/>
      <c r="BO522" s="8"/>
      <c r="BP522" s="62"/>
      <c r="BQ522" s="10"/>
      <c r="BR522" s="29">
        <v>2005</v>
      </c>
      <c r="BS522" s="64">
        <v>2005</v>
      </c>
      <c r="BT522" s="14">
        <v>8</v>
      </c>
      <c r="BU522" s="10"/>
      <c r="BV522" s="8">
        <v>0</v>
      </c>
      <c r="BW522" s="59">
        <v>3</v>
      </c>
      <c r="BX522" s="59">
        <v>0</v>
      </c>
      <c r="BY522" s="59"/>
      <c r="BZ522" s="59"/>
      <c r="CA522" s="59"/>
      <c r="CB522" s="59"/>
      <c r="CC522" s="221"/>
      <c r="CD522" s="59">
        <v>5</v>
      </c>
      <c r="CE522" s="317">
        <v>0</v>
      </c>
      <c r="CF522" s="59">
        <v>0</v>
      </c>
      <c r="CG522" s="59">
        <v>0</v>
      </c>
      <c r="CH522" s="59"/>
      <c r="CI522" s="59">
        <v>3</v>
      </c>
      <c r="CJ522" s="59">
        <v>5</v>
      </c>
      <c r="CK522" s="59"/>
      <c r="CL522" s="59"/>
      <c r="CM522" s="59">
        <v>0</v>
      </c>
      <c r="CN522" s="59"/>
      <c r="CO522" s="59">
        <v>0</v>
      </c>
      <c r="CP522" s="317"/>
      <c r="CQ522" s="59"/>
      <c r="CR522" s="59"/>
      <c r="CS522" s="59">
        <v>0</v>
      </c>
      <c r="CT522" s="59">
        <v>7</v>
      </c>
      <c r="CU522" s="59">
        <v>0</v>
      </c>
      <c r="CV522" s="59">
        <v>4</v>
      </c>
      <c r="CW522" s="59"/>
      <c r="CX522" s="59"/>
      <c r="CY522" s="59">
        <v>0</v>
      </c>
      <c r="CZ522" s="59"/>
      <c r="DA522" s="59"/>
      <c r="DB522" s="59">
        <v>2</v>
      </c>
      <c r="DC522" s="59"/>
      <c r="DD522" s="59"/>
      <c r="DE522" s="59"/>
      <c r="DF522" s="59"/>
      <c r="DG522" s="59">
        <v>0</v>
      </c>
      <c r="DH522" s="59">
        <v>0</v>
      </c>
      <c r="DI522" s="59">
        <v>0</v>
      </c>
      <c r="DJ522" s="59">
        <v>0</v>
      </c>
      <c r="DK522" s="59"/>
      <c r="DL522" s="59"/>
      <c r="DM522" s="59">
        <v>0</v>
      </c>
      <c r="DN522" s="59"/>
      <c r="DO522" s="59">
        <v>1</v>
      </c>
      <c r="DP522" s="59"/>
      <c r="DQ522" s="59"/>
      <c r="DR522" s="59"/>
      <c r="DS522" s="59">
        <v>3</v>
      </c>
      <c r="DT522" s="59">
        <v>0</v>
      </c>
      <c r="DU522" s="59">
        <v>0</v>
      </c>
      <c r="DV522" s="38">
        <f t="shared" si="235"/>
        <v>33</v>
      </c>
      <c r="DW522" s="14" t="str">
        <f t="shared" si="236"/>
        <v/>
      </c>
      <c r="DY522">
        <f t="shared" si="240"/>
        <v>33</v>
      </c>
      <c r="DZ522" t="str">
        <f t="shared" si="239"/>
        <v/>
      </c>
    </row>
    <row r="523" spans="1:130" customFormat="1">
      <c r="A523" s="210">
        <v>38473</v>
      </c>
      <c r="B523" s="211"/>
      <c r="C523" s="61">
        <v>3</v>
      </c>
      <c r="D523" s="59">
        <v>24</v>
      </c>
      <c r="E523" s="59">
        <v>0</v>
      </c>
      <c r="F523" s="59">
        <v>1</v>
      </c>
      <c r="G523" s="59">
        <v>1</v>
      </c>
      <c r="H523" s="59">
        <v>1</v>
      </c>
      <c r="I523" s="59">
        <v>0</v>
      </c>
      <c r="J523" s="59">
        <v>2</v>
      </c>
      <c r="K523" s="59">
        <v>0</v>
      </c>
      <c r="L523" s="59">
        <v>0</v>
      </c>
      <c r="M523" s="59">
        <v>0</v>
      </c>
      <c r="N523" s="59">
        <v>0</v>
      </c>
      <c r="O523" s="59">
        <v>1</v>
      </c>
      <c r="P523" s="59">
        <v>0</v>
      </c>
      <c r="Q523" s="59">
        <v>0</v>
      </c>
      <c r="R523" s="59">
        <v>0</v>
      </c>
      <c r="S523" s="35">
        <f>SUM(C523:R523)</f>
        <v>33</v>
      </c>
      <c r="T523" s="59"/>
      <c r="U523" s="59">
        <v>29</v>
      </c>
      <c r="V523" s="59">
        <v>25</v>
      </c>
      <c r="W523" s="59">
        <v>0</v>
      </c>
      <c r="X523" s="62">
        <v>0</v>
      </c>
      <c r="Y523" s="10"/>
      <c r="Z523" s="61">
        <v>1428992</v>
      </c>
      <c r="AA523" s="59"/>
      <c r="AB523" s="59"/>
      <c r="AC523" s="61">
        <v>461375</v>
      </c>
      <c r="AD523" s="59"/>
      <c r="AE523" s="35">
        <f t="shared" si="234"/>
        <v>461375</v>
      </c>
      <c r="AF523" s="10"/>
      <c r="AG523" s="61">
        <v>73</v>
      </c>
      <c r="AH523" s="59">
        <v>26</v>
      </c>
      <c r="AI523" s="59">
        <v>112</v>
      </c>
      <c r="AJ523" s="62"/>
      <c r="AK523" s="10"/>
      <c r="AL523" s="8"/>
      <c r="AM523" s="10"/>
      <c r="AN523" s="35"/>
      <c r="AO523" s="279"/>
      <c r="AP523" s="279"/>
      <c r="AQ523" s="281"/>
      <c r="AR523" s="59">
        <v>156</v>
      </c>
      <c r="AS523" s="59"/>
      <c r="AT523" s="59"/>
      <c r="AU523" s="59"/>
      <c r="AV523" s="62"/>
      <c r="AW523" s="10"/>
      <c r="AX523" s="326">
        <v>38469</v>
      </c>
      <c r="AY523" s="5">
        <v>-4</v>
      </c>
      <c r="AZ523" s="10"/>
      <c r="BA523" s="61">
        <v>1795</v>
      </c>
      <c r="BB523" s="59">
        <v>32861142</v>
      </c>
      <c r="BC523" s="59"/>
      <c r="BD523" s="59"/>
      <c r="BE523" s="59">
        <v>28</v>
      </c>
      <c r="BF523" s="59">
        <v>3</v>
      </c>
      <c r="BG523" s="59">
        <v>0</v>
      </c>
      <c r="BH523" s="351"/>
      <c r="BI523" s="59">
        <v>1969285</v>
      </c>
      <c r="BJ523" s="342">
        <v>38482</v>
      </c>
      <c r="BK523" s="342">
        <v>38547</v>
      </c>
      <c r="BL523" s="320">
        <f>BK523-BJ523</f>
        <v>65</v>
      </c>
      <c r="BM523" s="62"/>
      <c r="BN523" s="10"/>
      <c r="BO523" s="8"/>
      <c r="BP523" s="5">
        <v>154</v>
      </c>
      <c r="BQ523" s="10"/>
      <c r="BR523" s="29">
        <v>2005</v>
      </c>
      <c r="BS523" s="64">
        <v>2005</v>
      </c>
      <c r="BT523" s="14">
        <v>9</v>
      </c>
      <c r="BU523" s="10"/>
      <c r="BV523" s="8">
        <v>0</v>
      </c>
      <c r="BW523" s="59">
        <v>0</v>
      </c>
      <c r="BX523" s="59">
        <v>0</v>
      </c>
      <c r="BY523" s="59"/>
      <c r="BZ523" s="59"/>
      <c r="CA523" s="59"/>
      <c r="CB523" s="59"/>
      <c r="CC523" s="221"/>
      <c r="CD523" s="59">
        <v>0</v>
      </c>
      <c r="CE523" s="317">
        <v>0</v>
      </c>
      <c r="CF523" s="59">
        <v>0</v>
      </c>
      <c r="CG523" s="59">
        <v>0</v>
      </c>
      <c r="CH523" s="59"/>
      <c r="CI523" s="59">
        <v>0</v>
      </c>
      <c r="CJ523" s="59">
        <v>5</v>
      </c>
      <c r="CK523" s="59"/>
      <c r="CL523" s="59"/>
      <c r="CM523" s="59">
        <v>0</v>
      </c>
      <c r="CN523" s="59"/>
      <c r="CO523" s="59">
        <v>2</v>
      </c>
      <c r="CP523" s="317"/>
      <c r="CQ523" s="59"/>
      <c r="CR523" s="59"/>
      <c r="CS523" s="59">
        <v>0</v>
      </c>
      <c r="CT523" s="59">
        <v>0</v>
      </c>
      <c r="CU523" s="59">
        <v>0</v>
      </c>
      <c r="CV523" s="59">
        <v>2</v>
      </c>
      <c r="CW523" s="59"/>
      <c r="CX523" s="59"/>
      <c r="CY523" s="59">
        <v>0</v>
      </c>
      <c r="CZ523" s="59"/>
      <c r="DA523" s="59"/>
      <c r="DB523" s="59">
        <v>1</v>
      </c>
      <c r="DC523" s="59"/>
      <c r="DD523" s="59"/>
      <c r="DE523" s="59"/>
      <c r="DF523" s="59"/>
      <c r="DG523" s="59">
        <v>2</v>
      </c>
      <c r="DH523" s="59">
        <v>1</v>
      </c>
      <c r="DI523" s="59">
        <v>0</v>
      </c>
      <c r="DJ523" s="59">
        <v>4</v>
      </c>
      <c r="DK523" s="59"/>
      <c r="DL523" s="59"/>
      <c r="DM523" s="59">
        <v>12</v>
      </c>
      <c r="DN523" s="59"/>
      <c r="DO523" s="59">
        <v>0</v>
      </c>
      <c r="DP523" s="59"/>
      <c r="DQ523" s="59"/>
      <c r="DR523" s="59"/>
      <c r="DS523" s="59">
        <v>3</v>
      </c>
      <c r="DT523" s="59">
        <v>1</v>
      </c>
      <c r="DU523" s="59">
        <v>0</v>
      </c>
      <c r="DV523" s="38">
        <f t="shared" si="235"/>
        <v>33</v>
      </c>
      <c r="DW523" s="14" t="str">
        <f t="shared" si="236"/>
        <v/>
      </c>
      <c r="DY523">
        <f t="shared" si="240"/>
        <v>33</v>
      </c>
      <c r="DZ523" t="str">
        <f t="shared" si="239"/>
        <v/>
      </c>
    </row>
    <row r="524" spans="1:130" customFormat="1">
      <c r="A524" s="210">
        <v>38487</v>
      </c>
      <c r="B524" s="211"/>
      <c r="C524" s="61">
        <v>1</v>
      </c>
      <c r="D524" s="59">
        <v>18</v>
      </c>
      <c r="E524" s="59">
        <v>1</v>
      </c>
      <c r="F524" s="59">
        <v>0</v>
      </c>
      <c r="G524" s="59">
        <v>1</v>
      </c>
      <c r="H524" s="59">
        <v>0</v>
      </c>
      <c r="I524" s="59">
        <v>0</v>
      </c>
      <c r="J524" s="59">
        <v>6</v>
      </c>
      <c r="K524" s="59">
        <v>1</v>
      </c>
      <c r="L524" s="59">
        <v>0</v>
      </c>
      <c r="M524" s="59">
        <v>0</v>
      </c>
      <c r="N524" s="59">
        <v>0</v>
      </c>
      <c r="O524" s="59">
        <v>0</v>
      </c>
      <c r="P524" s="59">
        <v>0</v>
      </c>
      <c r="Q524" s="59">
        <v>0</v>
      </c>
      <c r="R524" s="59">
        <v>0</v>
      </c>
      <c r="S524" s="35">
        <f>SUM(C524:R524)</f>
        <v>28</v>
      </c>
      <c r="T524" s="59"/>
      <c r="U524" s="59">
        <v>17</v>
      </c>
      <c r="V524" s="59">
        <v>16</v>
      </c>
      <c r="W524" s="59">
        <v>0</v>
      </c>
      <c r="X524" s="62">
        <v>0</v>
      </c>
      <c r="Y524" s="10"/>
      <c r="Z524" s="61">
        <v>1331200</v>
      </c>
      <c r="AA524" s="59"/>
      <c r="AB524" s="59"/>
      <c r="AC524" s="61">
        <v>278577</v>
      </c>
      <c r="AD524" s="59"/>
      <c r="AE524" s="35">
        <f t="shared" si="234"/>
        <v>278577</v>
      </c>
      <c r="AF524" s="10"/>
      <c r="AG524" s="61">
        <v>48</v>
      </c>
      <c r="AH524" s="59">
        <v>29</v>
      </c>
      <c r="AI524" s="59">
        <v>92</v>
      </c>
      <c r="AJ524" s="62"/>
      <c r="AK524" s="10"/>
      <c r="AL524" s="8"/>
      <c r="AM524" s="10"/>
      <c r="AN524" s="35"/>
      <c r="AO524" s="279"/>
      <c r="AP524" s="279"/>
      <c r="AQ524" s="281"/>
      <c r="AR524" s="59">
        <v>155</v>
      </c>
      <c r="AS524" s="59">
        <v>54</v>
      </c>
      <c r="AT524" s="59">
        <v>87</v>
      </c>
      <c r="AU524" s="59">
        <v>22</v>
      </c>
      <c r="AV524" s="62">
        <v>188</v>
      </c>
      <c r="AW524" s="10"/>
      <c r="AX524" s="326">
        <v>38485</v>
      </c>
      <c r="AY524" s="5">
        <v>-2</v>
      </c>
      <c r="AZ524" s="10"/>
      <c r="BA524" s="8"/>
      <c r="BB524" s="10"/>
      <c r="BC524" s="10"/>
      <c r="BD524" s="10"/>
      <c r="BE524" s="10"/>
      <c r="BF524" s="10"/>
      <c r="BG524" s="10"/>
      <c r="BH524" s="30"/>
      <c r="BI524" s="10"/>
      <c r="BJ524" s="342"/>
      <c r="BK524" s="338"/>
      <c r="BL524" s="320"/>
      <c r="BM524" s="5"/>
      <c r="BN524" s="10"/>
      <c r="BO524" s="8"/>
      <c r="BP524" s="5"/>
      <c r="BQ524" s="10"/>
      <c r="BR524" s="29">
        <v>2005</v>
      </c>
      <c r="BS524" s="64">
        <v>2005</v>
      </c>
      <c r="BT524" s="14">
        <v>10</v>
      </c>
      <c r="BU524" s="10"/>
      <c r="BV524" s="8">
        <v>1</v>
      </c>
      <c r="BW524" s="59">
        <v>0</v>
      </c>
      <c r="BX524" s="59">
        <v>1</v>
      </c>
      <c r="BY524" s="59"/>
      <c r="BZ524" s="59"/>
      <c r="CA524" s="59"/>
      <c r="CB524" s="59"/>
      <c r="CC524" s="221"/>
      <c r="CD524" s="59">
        <v>1</v>
      </c>
      <c r="CE524" s="317">
        <v>0</v>
      </c>
      <c r="CF524" s="59">
        <v>0</v>
      </c>
      <c r="CG524" s="59">
        <v>0</v>
      </c>
      <c r="CH524" s="59"/>
      <c r="CI524" s="59">
        <v>0</v>
      </c>
      <c r="CJ524" s="59">
        <v>0</v>
      </c>
      <c r="CK524" s="59"/>
      <c r="CL524" s="59"/>
      <c r="CM524" s="59">
        <v>0</v>
      </c>
      <c r="CN524" s="59"/>
      <c r="CO524" s="59">
        <v>7</v>
      </c>
      <c r="CP524" s="317"/>
      <c r="CQ524" s="59"/>
      <c r="CR524" s="59"/>
      <c r="CS524" s="59">
        <v>0</v>
      </c>
      <c r="CT524" s="59">
        <v>5</v>
      </c>
      <c r="CU524" s="59">
        <v>0</v>
      </c>
      <c r="CV524" s="59">
        <v>3</v>
      </c>
      <c r="CW524" s="59"/>
      <c r="CX524" s="59"/>
      <c r="CY524" s="59">
        <v>0</v>
      </c>
      <c r="CZ524" s="59"/>
      <c r="DA524" s="59"/>
      <c r="DB524" s="59">
        <v>1</v>
      </c>
      <c r="DC524" s="59"/>
      <c r="DD524" s="59"/>
      <c r="DE524" s="59"/>
      <c r="DF524" s="59"/>
      <c r="DG524" s="59">
        <v>0</v>
      </c>
      <c r="DH524" s="59">
        <v>7</v>
      </c>
      <c r="DI524" s="59">
        <v>1</v>
      </c>
      <c r="DJ524" s="59">
        <v>0</v>
      </c>
      <c r="DK524" s="59"/>
      <c r="DL524" s="59"/>
      <c r="DM524" s="59">
        <v>0</v>
      </c>
      <c r="DN524" s="59"/>
      <c r="DO524" s="59">
        <v>1</v>
      </c>
      <c r="DP524" s="59"/>
      <c r="DQ524" s="59"/>
      <c r="DR524" s="59"/>
      <c r="DS524" s="59">
        <v>0</v>
      </c>
      <c r="DT524" s="59">
        <v>0</v>
      </c>
      <c r="DU524" s="59">
        <v>0</v>
      </c>
      <c r="DV524" s="38">
        <f t="shared" si="235"/>
        <v>28</v>
      </c>
      <c r="DW524" s="14" t="str">
        <f t="shared" si="236"/>
        <v/>
      </c>
      <c r="DY524">
        <f t="shared" si="240"/>
        <v>28</v>
      </c>
      <c r="DZ524" t="str">
        <f t="shared" si="239"/>
        <v/>
      </c>
    </row>
    <row r="525" spans="1:130" customFormat="1">
      <c r="A525" s="210">
        <v>38504</v>
      </c>
      <c r="B525" s="211"/>
      <c r="C525" s="8">
        <v>1</v>
      </c>
      <c r="D525" s="59">
        <v>36</v>
      </c>
      <c r="E525" s="59">
        <v>0</v>
      </c>
      <c r="F525" s="59">
        <v>1</v>
      </c>
      <c r="G525" s="59">
        <v>1</v>
      </c>
      <c r="H525" s="59">
        <v>0</v>
      </c>
      <c r="I525" s="59">
        <v>0</v>
      </c>
      <c r="J525" s="59">
        <v>24</v>
      </c>
      <c r="K525" s="59">
        <v>0</v>
      </c>
      <c r="L525" s="59">
        <v>0</v>
      </c>
      <c r="M525" s="59">
        <v>0</v>
      </c>
      <c r="N525" s="59">
        <v>0</v>
      </c>
      <c r="O525" s="59">
        <v>5</v>
      </c>
      <c r="P525" s="59">
        <v>0</v>
      </c>
      <c r="Q525" s="59">
        <v>0</v>
      </c>
      <c r="R525" s="59">
        <v>0</v>
      </c>
      <c r="S525" s="35">
        <f>SUM(C525:R525)</f>
        <v>68</v>
      </c>
      <c r="T525" s="59"/>
      <c r="U525" s="59">
        <v>31</v>
      </c>
      <c r="V525" s="59">
        <v>29</v>
      </c>
      <c r="W525" s="59">
        <v>0</v>
      </c>
      <c r="X525" s="62">
        <v>0</v>
      </c>
      <c r="Y525" s="10"/>
      <c r="Z525" s="61">
        <v>1041920</v>
      </c>
      <c r="AA525" s="59"/>
      <c r="AB525" s="59"/>
      <c r="AC525" s="61">
        <v>961787</v>
      </c>
      <c r="AD525" s="59"/>
      <c r="AE525" s="35">
        <f t="shared" si="234"/>
        <v>961787</v>
      </c>
      <c r="AF525" s="10"/>
      <c r="AG525" s="8">
        <v>97</v>
      </c>
      <c r="AH525" s="59">
        <v>34</v>
      </c>
      <c r="AI525" s="59">
        <v>146</v>
      </c>
      <c r="AJ525" s="5"/>
      <c r="AK525" s="10"/>
      <c r="AL525" s="8"/>
      <c r="AM525" s="10"/>
      <c r="AN525" s="35"/>
      <c r="AO525" s="279"/>
      <c r="AP525" s="279"/>
      <c r="AQ525" s="281"/>
      <c r="AR525" s="59">
        <v>154</v>
      </c>
      <c r="AS525" s="59"/>
      <c r="AT525" s="59"/>
      <c r="AU525" s="59"/>
      <c r="AV525" s="62"/>
      <c r="AW525" s="10"/>
      <c r="AX525" s="326">
        <v>38503</v>
      </c>
      <c r="AY525" s="5">
        <v>-1</v>
      </c>
      <c r="AZ525" s="10"/>
      <c r="BA525" s="8">
        <v>1801</v>
      </c>
      <c r="BB525" s="6">
        <v>33471302</v>
      </c>
      <c r="BC525" s="10"/>
      <c r="BD525" s="10"/>
      <c r="BE525" s="10">
        <v>50</v>
      </c>
      <c r="BF525" s="59">
        <v>10</v>
      </c>
      <c r="BG525" s="59">
        <v>4</v>
      </c>
      <c r="BH525" s="351"/>
      <c r="BI525" s="10">
        <v>2829079</v>
      </c>
      <c r="BJ525" s="342">
        <v>38513</v>
      </c>
      <c r="BK525" s="338">
        <v>38583</v>
      </c>
      <c r="BL525" s="320">
        <f>BK525-BJ525</f>
        <v>70</v>
      </c>
      <c r="BM525" s="5"/>
      <c r="BN525" s="10"/>
      <c r="BO525" s="8"/>
      <c r="BP525" s="5">
        <v>155</v>
      </c>
      <c r="BQ525" s="10"/>
      <c r="BR525" s="29">
        <v>2005</v>
      </c>
      <c r="BS525" s="64">
        <v>2005</v>
      </c>
      <c r="BT525" s="14">
        <v>11</v>
      </c>
      <c r="BU525" s="10"/>
      <c r="BV525" s="8">
        <v>1</v>
      </c>
      <c r="BW525" s="59">
        <v>0</v>
      </c>
      <c r="BX525" s="59">
        <v>1</v>
      </c>
      <c r="BY525" s="59"/>
      <c r="BZ525" s="59"/>
      <c r="CA525" s="59"/>
      <c r="CB525" s="59"/>
      <c r="CC525" s="221"/>
      <c r="CD525" s="59">
        <v>0</v>
      </c>
      <c r="CE525" s="317">
        <v>0</v>
      </c>
      <c r="CF525" s="59">
        <v>0</v>
      </c>
      <c r="CG525" s="59">
        <v>0</v>
      </c>
      <c r="CH525" s="59"/>
      <c r="CI525" s="59">
        <v>4</v>
      </c>
      <c r="CJ525" s="59">
        <v>14</v>
      </c>
      <c r="CK525" s="59"/>
      <c r="CL525" s="59"/>
      <c r="CM525" s="59">
        <v>0</v>
      </c>
      <c r="CN525" s="59"/>
      <c r="CO525" s="59">
        <v>7</v>
      </c>
      <c r="CP525" s="317"/>
      <c r="CQ525" s="59"/>
      <c r="CR525" s="59"/>
      <c r="CS525" s="59">
        <v>8</v>
      </c>
      <c r="CT525" s="59">
        <v>2</v>
      </c>
      <c r="CU525" s="59">
        <v>0</v>
      </c>
      <c r="CV525" s="59">
        <v>2</v>
      </c>
      <c r="CW525" s="59"/>
      <c r="CX525" s="59"/>
      <c r="CY525" s="59">
        <v>8</v>
      </c>
      <c r="CZ525" s="59"/>
      <c r="DA525" s="59"/>
      <c r="DB525" s="59">
        <v>5</v>
      </c>
      <c r="DC525" s="59"/>
      <c r="DD525" s="59"/>
      <c r="DE525" s="59"/>
      <c r="DF525" s="59"/>
      <c r="DG525" s="59">
        <v>4</v>
      </c>
      <c r="DH525" s="59">
        <v>0</v>
      </c>
      <c r="DI525" s="59">
        <v>0</v>
      </c>
      <c r="DJ525" s="59">
        <v>0</v>
      </c>
      <c r="DK525" s="59"/>
      <c r="DL525" s="59"/>
      <c r="DM525" s="59">
        <v>4</v>
      </c>
      <c r="DN525" s="59"/>
      <c r="DO525" s="59">
        <v>1</v>
      </c>
      <c r="DP525" s="59"/>
      <c r="DQ525" s="59"/>
      <c r="DR525" s="59"/>
      <c r="DS525" s="59">
        <v>7</v>
      </c>
      <c r="DT525" s="59">
        <v>0</v>
      </c>
      <c r="DU525" s="59">
        <v>0</v>
      </c>
      <c r="DV525" s="38">
        <f t="shared" si="235"/>
        <v>68</v>
      </c>
      <c r="DW525" s="14" t="str">
        <f t="shared" si="236"/>
        <v/>
      </c>
      <c r="DY525">
        <f t="shared" si="240"/>
        <v>68</v>
      </c>
      <c r="DZ525" t="str">
        <f t="shared" si="239"/>
        <v/>
      </c>
    </row>
    <row r="526" spans="1:130" customFormat="1">
      <c r="A526" s="210">
        <v>38518</v>
      </c>
      <c r="B526" s="211"/>
      <c r="C526" s="8">
        <v>6</v>
      </c>
      <c r="D526" s="59">
        <v>33</v>
      </c>
      <c r="E526" s="59">
        <v>4</v>
      </c>
      <c r="F526" s="59">
        <v>0</v>
      </c>
      <c r="G526" s="59">
        <v>0</v>
      </c>
      <c r="H526" s="59">
        <v>0</v>
      </c>
      <c r="I526" s="59">
        <v>0</v>
      </c>
      <c r="J526" s="59">
        <v>2</v>
      </c>
      <c r="K526" s="59">
        <v>0</v>
      </c>
      <c r="L526" s="59">
        <v>0</v>
      </c>
      <c r="M526" s="59">
        <v>0</v>
      </c>
      <c r="N526" s="59">
        <v>0</v>
      </c>
      <c r="O526" s="59">
        <v>3</v>
      </c>
      <c r="P526" s="59">
        <v>0</v>
      </c>
      <c r="Q526" s="59">
        <v>0</v>
      </c>
      <c r="R526" s="59">
        <v>0</v>
      </c>
      <c r="S526" s="35">
        <f>SUM(C526:R526)</f>
        <v>48</v>
      </c>
      <c r="T526" s="59"/>
      <c r="U526" s="59">
        <v>21</v>
      </c>
      <c r="V526" s="59">
        <v>16</v>
      </c>
      <c r="W526" s="59">
        <v>0</v>
      </c>
      <c r="X526" s="5">
        <v>0</v>
      </c>
      <c r="Y526" s="10"/>
      <c r="Z526" s="61">
        <v>1920000</v>
      </c>
      <c r="AA526" s="59"/>
      <c r="AB526" s="59"/>
      <c r="AC526" s="61">
        <v>612621</v>
      </c>
      <c r="AD526" s="59"/>
      <c r="AE526" s="35">
        <f t="shared" si="234"/>
        <v>612621</v>
      </c>
      <c r="AF526" s="10"/>
      <c r="AG526" s="8">
        <v>86</v>
      </c>
      <c r="AH526" s="59">
        <v>39</v>
      </c>
      <c r="AI526" s="59">
        <v>138</v>
      </c>
      <c r="AJ526" s="5"/>
      <c r="AK526" s="10"/>
      <c r="AL526" s="8"/>
      <c r="AM526" s="10"/>
      <c r="AN526" s="35"/>
      <c r="AO526" s="279"/>
      <c r="AP526" s="279"/>
      <c r="AQ526" s="281"/>
      <c r="AR526" s="59">
        <v>154</v>
      </c>
      <c r="AS526" s="59">
        <v>53</v>
      </c>
      <c r="AT526" s="59">
        <v>86</v>
      </c>
      <c r="AU526" s="59">
        <v>23</v>
      </c>
      <c r="AV526" s="62">
        <v>190</v>
      </c>
      <c r="AW526" s="10"/>
      <c r="AX526" s="326">
        <v>38513</v>
      </c>
      <c r="AY526" s="5">
        <v>-5</v>
      </c>
      <c r="AZ526" s="10"/>
      <c r="BA526" s="8"/>
      <c r="BB526" s="10"/>
      <c r="BC526" s="10"/>
      <c r="BD526" s="10"/>
      <c r="BE526" s="10"/>
      <c r="BF526" s="10"/>
      <c r="BG526" s="10"/>
      <c r="BH526" s="30"/>
      <c r="BI526" s="10"/>
      <c r="BJ526" s="338"/>
      <c r="BK526" s="338"/>
      <c r="BL526" s="320"/>
      <c r="BM526" s="5"/>
      <c r="BN526" s="10"/>
      <c r="BO526" s="8"/>
      <c r="BP526" s="5"/>
      <c r="BQ526" s="10"/>
      <c r="BR526" s="29">
        <v>2005</v>
      </c>
      <c r="BS526" s="64">
        <v>2005</v>
      </c>
      <c r="BT526" s="14">
        <v>12</v>
      </c>
      <c r="BU526" s="10"/>
      <c r="BV526" s="8">
        <v>0</v>
      </c>
      <c r="BW526" s="59">
        <v>0</v>
      </c>
      <c r="BX526" s="59">
        <v>3</v>
      </c>
      <c r="BY526" s="59"/>
      <c r="BZ526" s="59"/>
      <c r="CA526" s="59"/>
      <c r="CB526" s="59"/>
      <c r="CC526" s="221"/>
      <c r="CD526" s="59">
        <v>7</v>
      </c>
      <c r="CE526" s="317">
        <v>0</v>
      </c>
      <c r="CF526" s="59">
        <v>0</v>
      </c>
      <c r="CG526" s="59">
        <v>0</v>
      </c>
      <c r="CH526" s="59"/>
      <c r="CI526" s="59">
        <v>2</v>
      </c>
      <c r="CJ526" s="59">
        <v>10</v>
      </c>
      <c r="CK526" s="59"/>
      <c r="CL526" s="59"/>
      <c r="CM526" s="59">
        <v>0</v>
      </c>
      <c r="CN526" s="59"/>
      <c r="CO526" s="59">
        <v>5</v>
      </c>
      <c r="CP526" s="317"/>
      <c r="CQ526" s="59"/>
      <c r="CR526" s="59"/>
      <c r="CS526" s="59">
        <v>0</v>
      </c>
      <c r="CT526" s="59">
        <v>2</v>
      </c>
      <c r="CU526" s="59">
        <v>0</v>
      </c>
      <c r="CV526" s="59">
        <v>0</v>
      </c>
      <c r="CW526" s="59"/>
      <c r="CX526" s="59"/>
      <c r="CY526" s="59">
        <v>0</v>
      </c>
      <c r="CZ526" s="59"/>
      <c r="DA526" s="59"/>
      <c r="DB526" s="59">
        <v>0</v>
      </c>
      <c r="DC526" s="59"/>
      <c r="DD526" s="59"/>
      <c r="DE526" s="59"/>
      <c r="DF526" s="59"/>
      <c r="DG526" s="59">
        <v>2</v>
      </c>
      <c r="DH526" s="59">
        <v>0</v>
      </c>
      <c r="DI526" s="59">
        <v>0</v>
      </c>
      <c r="DJ526" s="59">
        <v>0</v>
      </c>
      <c r="DK526" s="59"/>
      <c r="DL526" s="59"/>
      <c r="DM526" s="59">
        <v>3</v>
      </c>
      <c r="DN526" s="59"/>
      <c r="DO526" s="59">
        <v>7</v>
      </c>
      <c r="DP526" s="59"/>
      <c r="DQ526" s="59"/>
      <c r="DR526" s="59"/>
      <c r="DS526" s="59">
        <v>5</v>
      </c>
      <c r="DT526" s="59">
        <v>2</v>
      </c>
      <c r="DU526" s="59">
        <v>0</v>
      </c>
      <c r="DV526" s="38">
        <f t="shared" si="235"/>
        <v>48</v>
      </c>
      <c r="DW526" s="14" t="str">
        <f t="shared" si="236"/>
        <v/>
      </c>
      <c r="DY526">
        <f t="shared" si="240"/>
        <v>48</v>
      </c>
      <c r="DZ526" t="str">
        <f t="shared" si="239"/>
        <v/>
      </c>
    </row>
    <row r="527" spans="1:130" s="6" customFormat="1" ht="12" thickBot="1">
      <c r="A527" s="212" t="s">
        <v>203</v>
      </c>
      <c r="B527" s="83"/>
      <c r="C527" s="52">
        <f t="shared" ref="C527:X527" si="241">SUM(C503:C526)</f>
        <v>72</v>
      </c>
      <c r="D527" s="53">
        <f t="shared" si="241"/>
        <v>363</v>
      </c>
      <c r="E527" s="53">
        <f t="shared" si="241"/>
        <v>25</v>
      </c>
      <c r="F527" s="53">
        <f t="shared" si="241"/>
        <v>9</v>
      </c>
      <c r="G527" s="53">
        <f t="shared" si="241"/>
        <v>36</v>
      </c>
      <c r="H527" s="53">
        <f t="shared" si="241"/>
        <v>8</v>
      </c>
      <c r="I527" s="53">
        <f>SUM(I503:I526)</f>
        <v>0</v>
      </c>
      <c r="J527" s="53">
        <f t="shared" si="241"/>
        <v>174</v>
      </c>
      <c r="K527" s="53">
        <f t="shared" si="241"/>
        <v>6</v>
      </c>
      <c r="L527" s="53">
        <f t="shared" si="241"/>
        <v>0</v>
      </c>
      <c r="M527" s="53">
        <f t="shared" ref="M527:O527" si="242">SUM(M503:M526)</f>
        <v>0</v>
      </c>
      <c r="N527" s="53">
        <f t="shared" si="242"/>
        <v>0</v>
      </c>
      <c r="O527" s="53">
        <f t="shared" si="242"/>
        <v>94</v>
      </c>
      <c r="P527" s="53">
        <f t="shared" si="241"/>
        <v>9</v>
      </c>
      <c r="Q527" s="53">
        <f t="shared" si="241"/>
        <v>0</v>
      </c>
      <c r="R527" s="53">
        <f t="shared" si="241"/>
        <v>0</v>
      </c>
      <c r="S527" s="55">
        <f t="shared" si="241"/>
        <v>796</v>
      </c>
      <c r="T527" s="53">
        <f t="shared" si="241"/>
        <v>0</v>
      </c>
      <c r="U527" s="53">
        <f t="shared" si="241"/>
        <v>364</v>
      </c>
      <c r="V527" s="53">
        <f t="shared" ref="V527" si="243">SUM(V503:V526)</f>
        <v>295</v>
      </c>
      <c r="W527" s="53">
        <f t="shared" si="241"/>
        <v>0</v>
      </c>
      <c r="X527" s="54">
        <f t="shared" si="241"/>
        <v>2</v>
      </c>
      <c r="Z527" s="52">
        <f>SUM(Z503:Z526)</f>
        <v>40582517</v>
      </c>
      <c r="AA527" s="53">
        <f>SUM(AA503:AA526)</f>
        <v>0</v>
      </c>
      <c r="AB527" s="53"/>
      <c r="AC527" s="52">
        <f>SUM(AC503:AC526)</f>
        <v>15205232</v>
      </c>
      <c r="AD527" s="53">
        <f>SUM(AD503:AD526)</f>
        <v>0</v>
      </c>
      <c r="AE527" s="55">
        <f>SUM(AE503:AE526)</f>
        <v>15205232</v>
      </c>
      <c r="AG527" s="52">
        <f>SUM(AG503:AG526)</f>
        <v>1428</v>
      </c>
      <c r="AH527" s="53">
        <f>SUM(AH503:AH526)</f>
        <v>1066</v>
      </c>
      <c r="AI527" s="53">
        <f>SUM(AI503:AI526)</f>
        <v>2784</v>
      </c>
      <c r="AJ527" s="54">
        <f>SUM(AJ503:AJ526)</f>
        <v>0</v>
      </c>
      <c r="AL527" s="52">
        <f t="shared" ref="AL527:AV527" si="244">SUM(AL503:AL526)</f>
        <v>0</v>
      </c>
      <c r="AM527" s="53">
        <f t="shared" si="244"/>
        <v>240</v>
      </c>
      <c r="AN527" s="55">
        <f t="shared" si="244"/>
        <v>120</v>
      </c>
      <c r="AO527" s="283"/>
      <c r="AP527" s="283"/>
      <c r="AQ527" s="284"/>
      <c r="AR527" s="53">
        <f t="shared" si="244"/>
        <v>3783</v>
      </c>
      <c r="AS527" s="53">
        <f t="shared" si="244"/>
        <v>882</v>
      </c>
      <c r="AT527" s="53">
        <f t="shared" si="244"/>
        <v>1386</v>
      </c>
      <c r="AU527" s="53">
        <f t="shared" si="244"/>
        <v>345</v>
      </c>
      <c r="AV527" s="54">
        <f t="shared" si="244"/>
        <v>3018</v>
      </c>
      <c r="AX527" s="329"/>
      <c r="AY527" s="54"/>
      <c r="BA527" s="52">
        <f t="shared" ref="BA527:BM527" si="245">SUM(BA503:BA526)</f>
        <v>21351</v>
      </c>
      <c r="BB527" s="53">
        <f t="shared" si="245"/>
        <v>376188946</v>
      </c>
      <c r="BC527" s="53">
        <f t="shared" si="245"/>
        <v>0</v>
      </c>
      <c r="BD527" s="53"/>
      <c r="BE527" s="53">
        <f t="shared" si="245"/>
        <v>567</v>
      </c>
      <c r="BF527" s="53">
        <f t="shared" si="245"/>
        <v>66</v>
      </c>
      <c r="BG527" s="53">
        <f t="shared" si="245"/>
        <v>23</v>
      </c>
      <c r="BH527" s="55"/>
      <c r="BI527" s="53">
        <f t="shared" si="245"/>
        <v>19633303</v>
      </c>
      <c r="BJ527" s="339"/>
      <c r="BK527" s="339"/>
      <c r="BL527" s="304"/>
      <c r="BM527" s="54">
        <f t="shared" si="245"/>
        <v>0</v>
      </c>
      <c r="BO527" s="52">
        <f>SUM(BO503:BO526)</f>
        <v>0</v>
      </c>
      <c r="BP527" s="54">
        <f>SUM(BP503:BP526)</f>
        <v>1854</v>
      </c>
      <c r="BR527" s="81" t="s">
        <v>211</v>
      </c>
      <c r="BS527" s="80"/>
      <c r="BT527" s="82"/>
      <c r="BV527" s="52">
        <f>SUM(BV503:BV526)</f>
        <v>33</v>
      </c>
      <c r="BW527" s="53">
        <f>SUM(BW503:BW526)</f>
        <v>28</v>
      </c>
      <c r="BX527" s="53">
        <f t="shared" ref="BX527:DU527" si="246">SUM(BX503:BX526)</f>
        <v>9</v>
      </c>
      <c r="BY527" s="53">
        <f t="shared" si="246"/>
        <v>0</v>
      </c>
      <c r="BZ527" s="53">
        <f t="shared" si="246"/>
        <v>0</v>
      </c>
      <c r="CA527" s="53">
        <f t="shared" si="246"/>
        <v>0</v>
      </c>
      <c r="CB527" s="53">
        <f t="shared" si="246"/>
        <v>0</v>
      </c>
      <c r="CC527" s="53">
        <f t="shared" si="246"/>
        <v>0</v>
      </c>
      <c r="CD527" s="53">
        <f t="shared" si="246"/>
        <v>75</v>
      </c>
      <c r="CE527" s="53">
        <f t="shared" si="246"/>
        <v>0</v>
      </c>
      <c r="CF527" s="53">
        <f t="shared" si="246"/>
        <v>5</v>
      </c>
      <c r="CG527" s="53">
        <f t="shared" si="246"/>
        <v>1</v>
      </c>
      <c r="CH527" s="53">
        <f t="shared" si="246"/>
        <v>0</v>
      </c>
      <c r="CI527" s="53">
        <f t="shared" si="246"/>
        <v>45</v>
      </c>
      <c r="CJ527" s="53">
        <f t="shared" si="246"/>
        <v>93</v>
      </c>
      <c r="CK527" s="53">
        <f t="shared" si="246"/>
        <v>0</v>
      </c>
      <c r="CL527" s="53">
        <f t="shared" si="246"/>
        <v>0</v>
      </c>
      <c r="CM527" s="53">
        <f t="shared" si="246"/>
        <v>0</v>
      </c>
      <c r="CN527" s="53">
        <f t="shared" si="246"/>
        <v>0</v>
      </c>
      <c r="CO527" s="53">
        <f t="shared" si="246"/>
        <v>105</v>
      </c>
      <c r="CP527" s="53">
        <f t="shared" si="246"/>
        <v>0</v>
      </c>
      <c r="CQ527" s="53">
        <f t="shared" si="246"/>
        <v>0</v>
      </c>
      <c r="CR527" s="53">
        <f t="shared" si="246"/>
        <v>0</v>
      </c>
      <c r="CS527" s="53">
        <f t="shared" si="246"/>
        <v>10</v>
      </c>
      <c r="CT527" s="53">
        <f t="shared" si="246"/>
        <v>70</v>
      </c>
      <c r="CU527" s="53">
        <f t="shared" si="246"/>
        <v>0</v>
      </c>
      <c r="CV527" s="53">
        <f t="shared" si="246"/>
        <v>52</v>
      </c>
      <c r="CW527" s="53">
        <f t="shared" si="246"/>
        <v>0</v>
      </c>
      <c r="CX527" s="53">
        <f t="shared" si="246"/>
        <v>0</v>
      </c>
      <c r="CY527" s="53">
        <f t="shared" si="246"/>
        <v>17</v>
      </c>
      <c r="CZ527" s="53">
        <f t="shared" si="246"/>
        <v>0</v>
      </c>
      <c r="DA527" s="53">
        <f t="shared" si="246"/>
        <v>0</v>
      </c>
      <c r="DB527" s="53">
        <f t="shared" si="246"/>
        <v>54</v>
      </c>
      <c r="DC527" s="53">
        <f t="shared" si="246"/>
        <v>0</v>
      </c>
      <c r="DD527" s="53">
        <f t="shared" si="246"/>
        <v>0</v>
      </c>
      <c r="DE527" s="53">
        <f t="shared" si="246"/>
        <v>0</v>
      </c>
      <c r="DF527" s="53">
        <f t="shared" si="246"/>
        <v>0</v>
      </c>
      <c r="DG527" s="53">
        <f t="shared" si="246"/>
        <v>36</v>
      </c>
      <c r="DH527" s="53">
        <f t="shared" si="246"/>
        <v>16</v>
      </c>
      <c r="DI527" s="53">
        <f t="shared" si="246"/>
        <v>7</v>
      </c>
      <c r="DJ527" s="53">
        <f t="shared" si="246"/>
        <v>15</v>
      </c>
      <c r="DK527" s="53">
        <f t="shared" si="246"/>
        <v>0</v>
      </c>
      <c r="DL527" s="53">
        <f t="shared" si="246"/>
        <v>0</v>
      </c>
      <c r="DM527" s="53">
        <f t="shared" si="246"/>
        <v>35</v>
      </c>
      <c r="DN527" s="53">
        <f t="shared" si="246"/>
        <v>0</v>
      </c>
      <c r="DO527" s="53">
        <f t="shared" si="246"/>
        <v>10</v>
      </c>
      <c r="DP527" s="53">
        <f t="shared" si="246"/>
        <v>0</v>
      </c>
      <c r="DQ527" s="53">
        <f t="shared" si="246"/>
        <v>0</v>
      </c>
      <c r="DR527" s="53">
        <f t="shared" si="246"/>
        <v>0</v>
      </c>
      <c r="DS527" s="53">
        <f t="shared" si="246"/>
        <v>40</v>
      </c>
      <c r="DT527" s="53">
        <f t="shared" si="246"/>
        <v>40</v>
      </c>
      <c r="DU527" s="53">
        <f t="shared" si="246"/>
        <v>0</v>
      </c>
      <c r="DV527" s="54">
        <f t="shared" si="235"/>
        <v>796</v>
      </c>
      <c r="DW527" s="48"/>
      <c r="DY527" s="6">
        <f>SUM(DY503:DY526)</f>
        <v>796</v>
      </c>
      <c r="DZ527" s="6" t="str">
        <f t="shared" si="239"/>
        <v/>
      </c>
    </row>
    <row r="528" spans="1:130" s="6" customFormat="1" ht="12" thickTop="1">
      <c r="A528" s="213" t="s">
        <v>201</v>
      </c>
      <c r="B528" s="24"/>
      <c r="C528" s="39">
        <f t="shared" ref="C528:R528" si="247">ROUND(IF(ISERROR(AVERAGE(C503:C526)),0,AVERAGE(C503:C526)),0)</f>
        <v>3</v>
      </c>
      <c r="D528" s="24">
        <f t="shared" si="247"/>
        <v>15</v>
      </c>
      <c r="E528" s="24">
        <f t="shared" si="247"/>
        <v>1</v>
      </c>
      <c r="F528" s="24">
        <f t="shared" si="247"/>
        <v>0</v>
      </c>
      <c r="G528" s="24">
        <f t="shared" si="247"/>
        <v>2</v>
      </c>
      <c r="H528" s="24">
        <f t="shared" si="247"/>
        <v>0</v>
      </c>
      <c r="I528" s="24">
        <f>ROUND(IF(ISERROR(AVERAGE(I503:I526)),0,AVERAGE(I503:I526)),0)</f>
        <v>0</v>
      </c>
      <c r="J528" s="24">
        <f t="shared" si="247"/>
        <v>7</v>
      </c>
      <c r="K528" s="24">
        <f t="shared" si="247"/>
        <v>0</v>
      </c>
      <c r="L528" s="24">
        <f t="shared" si="247"/>
        <v>0</v>
      </c>
      <c r="M528" s="24">
        <f t="shared" ref="M528:O528" si="248">ROUND(IF(ISERROR(AVERAGE(M503:M526)),0,AVERAGE(M503:M526)),0)</f>
        <v>0</v>
      </c>
      <c r="N528" s="24">
        <f t="shared" si="248"/>
        <v>0</v>
      </c>
      <c r="O528" s="24">
        <f t="shared" si="248"/>
        <v>4</v>
      </c>
      <c r="P528" s="24">
        <f t="shared" si="247"/>
        <v>0</v>
      </c>
      <c r="Q528" s="24">
        <f t="shared" si="247"/>
        <v>0</v>
      </c>
      <c r="R528" s="24">
        <f t="shared" si="247"/>
        <v>0</v>
      </c>
      <c r="S528" s="31">
        <f>SUM(C528:R528)</f>
        <v>32</v>
      </c>
      <c r="T528" s="24">
        <f>ROUND(IF(ISERROR(AVERAGE(T503:T526)),0,AVERAGE(T503:T526)),0)</f>
        <v>0</v>
      </c>
      <c r="U528" s="24">
        <f>ROUND(IF(ISERROR(AVERAGE(U503:U526)),0,AVERAGE(U503:U526)),0)</f>
        <v>15</v>
      </c>
      <c r="V528" s="24">
        <f>ROUND(IF(ISERROR(AVERAGE(V503:V526)),0,AVERAGE(V503:V526)),0)</f>
        <v>12</v>
      </c>
      <c r="W528" s="24">
        <f>ROUND(IF(ISERROR(AVERAGE(W503:W526)),0,AVERAGE(W503:W526)),0)</f>
        <v>0</v>
      </c>
      <c r="X528" s="40">
        <f>ROUND(IF(ISERROR(AVERAGE(X503:X526)),0,AVERAGE(X503:X526)),0)</f>
        <v>0</v>
      </c>
      <c r="Z528" s="39">
        <f>ROUND(IF(ISERROR(AVERAGE(Z503:Z526)),0,AVERAGE(Z503:Z526)),0)</f>
        <v>1690938</v>
      </c>
      <c r="AA528" s="24">
        <f>ROUND(IF(ISERROR(AVERAGE(AA503:AA526)),0,AVERAGE(AA503:AA526)),0)</f>
        <v>0</v>
      </c>
      <c r="AB528" s="24"/>
      <c r="AC528" s="39">
        <f>ROUND(IF(ISERROR(AVERAGE(AC503:AC526)),0,AVERAGE(AC503:AC526)),0)</f>
        <v>633551</v>
      </c>
      <c r="AD528" s="24">
        <f>ROUND(IF(ISERROR(AVERAGE(AD503:AD526)),0,AVERAGE(AD503:AD526)),0)</f>
        <v>0</v>
      </c>
      <c r="AE528" s="31">
        <f>SUM(AC528:AD528)</f>
        <v>633551</v>
      </c>
      <c r="AG528" s="39">
        <f>ROUND(IF(ISERROR(AVERAGE(AG503:AG526)),0,AVERAGE(AG503:AG526)),0)</f>
        <v>60</v>
      </c>
      <c r="AH528" s="24">
        <f>ROUND(IF(ISERROR(AVERAGE(AH503:AH526)),0,AVERAGE(AH503:AH526)),0)</f>
        <v>44</v>
      </c>
      <c r="AI528" s="24">
        <f>ROUND(IF(ISERROR(AVERAGE(AI503:AI526)),0,AVERAGE(AI503:AI526)),0)</f>
        <v>116</v>
      </c>
      <c r="AJ528" s="40">
        <f>ROUND(IF(ISERROR(AVERAGE(AJ503:AJ526)),0,AVERAGE(AJ503:AJ526)),0)</f>
        <v>0</v>
      </c>
      <c r="AL528" s="39">
        <f>ROUND(IF(ISERROR(AVERAGE(AL503:AL526)),0,AVERAGE(AL503:AL526)),0)</f>
        <v>0</v>
      </c>
      <c r="AM528" s="24">
        <f>ROUND(IF(ISERROR(AVERAGE(AM503:AM526)),0,AVERAGE(AM503:AM526)),0)</f>
        <v>60</v>
      </c>
      <c r="AN528" s="31">
        <f>SUM(AL528:AM528)</f>
        <v>60</v>
      </c>
      <c r="AO528" s="285"/>
      <c r="AP528" s="285"/>
      <c r="AQ528" s="281"/>
      <c r="AR528" s="24">
        <f>ROUND(IF(ISERROR(AVERAGE(AR503:AR526)),0,AVERAGE(AR503:AR526)),0)</f>
        <v>158</v>
      </c>
      <c r="AS528" s="24">
        <f>ROUND(IF(ISERROR(AVERAGE(AS503:AS526)),0,AVERAGE(AS503:AS526)),0)</f>
        <v>49</v>
      </c>
      <c r="AT528" s="24">
        <f>ROUND(IF(ISERROR(AVERAGE(AT503:AT526)),0,AVERAGE(AT503:AT526)),0)</f>
        <v>77</v>
      </c>
      <c r="AU528" s="24">
        <f>ROUND(IF(ISERROR(AVERAGE(AU503:AU526)),0,AVERAGE(AU503:AU526)),0)</f>
        <v>19</v>
      </c>
      <c r="AV528" s="40">
        <f>ROUND(IF(ISERROR(AVERAGE(AV503:AV526)),0,AVERAGE(AV503:AV526)),0)</f>
        <v>168</v>
      </c>
      <c r="AX528" s="330"/>
      <c r="AY528" s="40">
        <f>ROUND(IF(ISERROR(AVERAGE(AY503:AY526)),0,AVERAGE(AY503:AY526)),0)</f>
        <v>-2</v>
      </c>
      <c r="BA528" s="39">
        <f t="shared" ref="BA528:BM528" si="249">ROUND(IF(ISERROR(AVERAGE(BA503:BA526)),0,AVERAGE(BA503:BA526)),0)</f>
        <v>1779</v>
      </c>
      <c r="BB528" s="24">
        <f t="shared" si="249"/>
        <v>31349079</v>
      </c>
      <c r="BC528" s="24">
        <f t="shared" si="249"/>
        <v>0</v>
      </c>
      <c r="BD528" s="24"/>
      <c r="BE528" s="24">
        <f t="shared" si="249"/>
        <v>47</v>
      </c>
      <c r="BF528" s="24">
        <f t="shared" si="249"/>
        <v>6</v>
      </c>
      <c r="BG528" s="24">
        <f t="shared" si="249"/>
        <v>2</v>
      </c>
      <c r="BH528" s="31"/>
      <c r="BI528" s="24">
        <f t="shared" si="249"/>
        <v>1636109</v>
      </c>
      <c r="BJ528" s="340"/>
      <c r="BK528" s="340"/>
      <c r="BL528" s="305">
        <f>AVERAGE(BL503:BL526)</f>
        <v>35.666666666666664</v>
      </c>
      <c r="BM528" s="40">
        <f t="shared" si="249"/>
        <v>0</v>
      </c>
      <c r="BO528" s="39">
        <f>ROUND(IF(ISERROR(AVERAGE(BO503:BO526)),0,AVERAGE(BO503:BO526)),0)</f>
        <v>0</v>
      </c>
      <c r="BP528" s="40">
        <f>ROUND(IF(ISERROR(AVERAGE(BP503:BP526)),0,AVERAGE(BP503:BP526)),0)</f>
        <v>155</v>
      </c>
      <c r="BR528" s="65" t="s">
        <v>212</v>
      </c>
      <c r="BS528" s="19"/>
      <c r="BT528" s="14"/>
      <c r="BV528" s="39">
        <f>ROUND(IF(ISERROR(AVERAGE(BV503:BV526)),0,AVERAGE(BV503:BV526)),0)</f>
        <v>1</v>
      </c>
      <c r="BW528" s="24">
        <f>ROUND(IF(ISERROR(AVERAGE(BW503:BW526)),0,AVERAGE(BW503:BW526)),0)</f>
        <v>1</v>
      </c>
      <c r="BX528" s="24">
        <f t="shared" ref="BX528:DU528" si="250">ROUND(IF(ISERROR(AVERAGE(BX503:BX526)),0,AVERAGE(BX503:BX526)),0)</f>
        <v>0</v>
      </c>
      <c r="BY528" s="24">
        <f t="shared" si="250"/>
        <v>0</v>
      </c>
      <c r="BZ528" s="24">
        <f t="shared" si="250"/>
        <v>0</v>
      </c>
      <c r="CA528" s="24">
        <f t="shared" si="250"/>
        <v>0</v>
      </c>
      <c r="CB528" s="24">
        <f t="shared" si="250"/>
        <v>0</v>
      </c>
      <c r="CC528" s="24">
        <f t="shared" si="250"/>
        <v>0</v>
      </c>
      <c r="CD528" s="24">
        <f t="shared" si="250"/>
        <v>3</v>
      </c>
      <c r="CE528" s="24">
        <f t="shared" si="250"/>
        <v>0</v>
      </c>
      <c r="CF528" s="24">
        <f t="shared" si="250"/>
        <v>0</v>
      </c>
      <c r="CG528" s="24">
        <f t="shared" si="250"/>
        <v>0</v>
      </c>
      <c r="CH528" s="24">
        <f t="shared" si="250"/>
        <v>0</v>
      </c>
      <c r="CI528" s="24">
        <f t="shared" si="250"/>
        <v>2</v>
      </c>
      <c r="CJ528" s="24">
        <f t="shared" si="250"/>
        <v>4</v>
      </c>
      <c r="CK528" s="24">
        <f t="shared" si="250"/>
        <v>0</v>
      </c>
      <c r="CL528" s="24">
        <f t="shared" si="250"/>
        <v>0</v>
      </c>
      <c r="CM528" s="24">
        <f t="shared" si="250"/>
        <v>0</v>
      </c>
      <c r="CN528" s="24">
        <f t="shared" si="250"/>
        <v>0</v>
      </c>
      <c r="CO528" s="24">
        <f t="shared" si="250"/>
        <v>4</v>
      </c>
      <c r="CP528" s="24">
        <f t="shared" si="250"/>
        <v>0</v>
      </c>
      <c r="CQ528" s="24">
        <f t="shared" si="250"/>
        <v>0</v>
      </c>
      <c r="CR528" s="24">
        <f t="shared" si="250"/>
        <v>0</v>
      </c>
      <c r="CS528" s="24">
        <f t="shared" si="250"/>
        <v>0</v>
      </c>
      <c r="CT528" s="24">
        <f t="shared" si="250"/>
        <v>3</v>
      </c>
      <c r="CU528" s="24">
        <f t="shared" si="250"/>
        <v>0</v>
      </c>
      <c r="CV528" s="24">
        <f t="shared" si="250"/>
        <v>2</v>
      </c>
      <c r="CW528" s="24">
        <f t="shared" si="250"/>
        <v>0</v>
      </c>
      <c r="CX528" s="24">
        <f t="shared" si="250"/>
        <v>0</v>
      </c>
      <c r="CY528" s="24">
        <f t="shared" si="250"/>
        <v>1</v>
      </c>
      <c r="CZ528" s="24">
        <f t="shared" si="250"/>
        <v>0</v>
      </c>
      <c r="DA528" s="24">
        <f t="shared" si="250"/>
        <v>0</v>
      </c>
      <c r="DB528" s="24">
        <f t="shared" si="250"/>
        <v>2</v>
      </c>
      <c r="DC528" s="24">
        <f t="shared" si="250"/>
        <v>0</v>
      </c>
      <c r="DD528" s="24">
        <f t="shared" si="250"/>
        <v>0</v>
      </c>
      <c r="DE528" s="24">
        <f t="shared" si="250"/>
        <v>0</v>
      </c>
      <c r="DF528" s="24">
        <f t="shared" si="250"/>
        <v>0</v>
      </c>
      <c r="DG528" s="24">
        <f t="shared" si="250"/>
        <v>2</v>
      </c>
      <c r="DH528" s="24">
        <f t="shared" si="250"/>
        <v>1</v>
      </c>
      <c r="DI528" s="24">
        <f t="shared" si="250"/>
        <v>0</v>
      </c>
      <c r="DJ528" s="24">
        <f t="shared" si="250"/>
        <v>1</v>
      </c>
      <c r="DK528" s="24">
        <f t="shared" si="250"/>
        <v>0</v>
      </c>
      <c r="DL528" s="24">
        <f t="shared" si="250"/>
        <v>0</v>
      </c>
      <c r="DM528" s="24">
        <f t="shared" si="250"/>
        <v>1</v>
      </c>
      <c r="DN528" s="24">
        <f t="shared" si="250"/>
        <v>0</v>
      </c>
      <c r="DO528" s="24">
        <f t="shared" si="250"/>
        <v>0</v>
      </c>
      <c r="DP528" s="24">
        <f t="shared" si="250"/>
        <v>0</v>
      </c>
      <c r="DQ528" s="24">
        <f t="shared" si="250"/>
        <v>0</v>
      </c>
      <c r="DR528" s="24">
        <f t="shared" si="250"/>
        <v>0</v>
      </c>
      <c r="DS528" s="24">
        <f t="shared" si="250"/>
        <v>2</v>
      </c>
      <c r="DT528" s="24">
        <f t="shared" si="250"/>
        <v>2</v>
      </c>
      <c r="DU528" s="24">
        <f t="shared" si="250"/>
        <v>0</v>
      </c>
      <c r="DV528" s="18"/>
      <c r="DW528" s="48"/>
    </row>
    <row r="529" spans="1:129" customFormat="1">
      <c r="A529" s="210" t="s">
        <v>202</v>
      </c>
      <c r="B529" s="211"/>
      <c r="C529" s="8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30">
        <f>MEDIAN(S503:S526)</f>
        <v>32</v>
      </c>
      <c r="T529" s="10"/>
      <c r="U529" s="10"/>
      <c r="V529" s="10"/>
      <c r="W529" s="10"/>
      <c r="X529" s="5"/>
      <c r="Y529" s="10"/>
      <c r="Z529" s="8"/>
      <c r="AA529" s="10" t="str">
        <f>IF(ISERROR(MEDIAN(AA503:AA526)),"",MEDIAN(AA503:AA526))</f>
        <v/>
      </c>
      <c r="AB529" s="10"/>
      <c r="AC529" s="8"/>
      <c r="AD529" s="10"/>
      <c r="AE529" s="30"/>
      <c r="AF529" s="10"/>
      <c r="AG529" s="8"/>
      <c r="AH529" s="10"/>
      <c r="AI529" s="10">
        <f>IF(ISERROR(MEDIAN(AI503:AI526)),"",MEDIAN(AI503:AI526))</f>
        <v>116</v>
      </c>
      <c r="AJ529" s="5" t="str">
        <f>IF(ISERROR(MEDIAN(AJ503:AJ526)),"",MEDIAN(AJ503:AJ526))</f>
        <v/>
      </c>
      <c r="AK529" s="10"/>
      <c r="AL529" s="8"/>
      <c r="AM529" s="10"/>
      <c r="AN529" s="30"/>
      <c r="AO529" s="10"/>
      <c r="AP529" s="10"/>
      <c r="AQ529" s="30"/>
      <c r="AR529" s="10"/>
      <c r="AS529" s="10"/>
      <c r="AT529" s="10"/>
      <c r="AU529" s="10"/>
      <c r="AV529" s="5"/>
      <c r="AW529" s="10"/>
      <c r="AX529" s="326"/>
      <c r="AY529" s="5"/>
      <c r="AZ529" s="10"/>
      <c r="BA529" s="8">
        <f>IF(ISERROR(MEDIAN(BA503:BA526)),"",MEDIAN(BA503:BA526))</f>
        <v>1779</v>
      </c>
      <c r="BB529" s="10"/>
      <c r="BC529" s="10"/>
      <c r="BD529" s="10"/>
      <c r="BE529" s="10"/>
      <c r="BF529" s="10"/>
      <c r="BG529" s="10"/>
      <c r="BH529" s="30"/>
      <c r="BI529" s="10"/>
      <c r="BJ529" s="338"/>
      <c r="BK529" s="338"/>
      <c r="BL529" s="303"/>
      <c r="BM529" s="5"/>
      <c r="BN529" s="10"/>
      <c r="BO529" s="8"/>
      <c r="BP529" s="5"/>
      <c r="BQ529" s="10"/>
      <c r="BR529" s="65"/>
      <c r="BS529" s="19"/>
      <c r="BT529" s="14"/>
      <c r="BU529" s="10"/>
      <c r="BV529" s="8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  <c r="DJ529" s="10"/>
      <c r="DK529" s="10"/>
      <c r="DL529" s="10"/>
      <c r="DM529" s="10"/>
      <c r="DN529" s="10"/>
      <c r="DO529" s="10"/>
      <c r="DP529" s="10"/>
      <c r="DQ529" s="10"/>
      <c r="DR529" s="10"/>
      <c r="DS529" s="10"/>
      <c r="DT529" s="10"/>
      <c r="DU529" s="10"/>
      <c r="DV529" s="5"/>
      <c r="DW529" s="21"/>
    </row>
    <row r="530" spans="1:129" customFormat="1" ht="12" thickBot="1">
      <c r="A530" s="214" t="s">
        <v>197</v>
      </c>
      <c r="B530" s="195"/>
      <c r="C530" s="41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32">
        <f>MODE(S503:S526)</f>
        <v>27</v>
      </c>
      <c r="T530" s="22"/>
      <c r="U530" s="22"/>
      <c r="V530" s="22"/>
      <c r="W530" s="22"/>
      <c r="X530" s="42"/>
      <c r="Y530" s="22"/>
      <c r="Z530" s="41"/>
      <c r="AA530" s="22"/>
      <c r="AB530" s="22"/>
      <c r="AC530" s="41"/>
      <c r="AD530" s="22"/>
      <c r="AE530" s="32"/>
      <c r="AF530" s="22"/>
      <c r="AG530" s="41"/>
      <c r="AH530" s="22"/>
      <c r="AI530" s="22">
        <f>IF(ISERROR(MODE(AI503:AI526)),"",MODE(AI503:AI526))</f>
        <v>92</v>
      </c>
      <c r="AJ530" s="42" t="str">
        <f>IF(ISERROR(MODE(AJ503:AJ526)),"",MODE(AJ503:AJ526))</f>
        <v/>
      </c>
      <c r="AK530" s="22"/>
      <c r="AL530" s="41"/>
      <c r="AM530" s="22"/>
      <c r="AN530" s="32"/>
      <c r="AO530" s="22"/>
      <c r="AP530" s="22"/>
      <c r="AQ530" s="32"/>
      <c r="AR530" s="22"/>
      <c r="AS530" s="22"/>
      <c r="AT530" s="22"/>
      <c r="AU530" s="22"/>
      <c r="AV530" s="42"/>
      <c r="AW530" s="22"/>
      <c r="AX530" s="331"/>
      <c r="AY530" s="42"/>
      <c r="AZ530" s="22"/>
      <c r="BA530" s="41"/>
      <c r="BB530" s="22"/>
      <c r="BC530" s="22"/>
      <c r="BD530" s="22"/>
      <c r="BE530" s="22"/>
      <c r="BF530" s="22"/>
      <c r="BG530" s="22"/>
      <c r="BH530" s="32"/>
      <c r="BI530" s="22"/>
      <c r="BJ530" s="341"/>
      <c r="BK530" s="341"/>
      <c r="BL530" s="306"/>
      <c r="BM530" s="42"/>
      <c r="BN530" s="22"/>
      <c r="BO530" s="41"/>
      <c r="BP530" s="42"/>
      <c r="BQ530" s="22"/>
      <c r="BR530" s="66"/>
      <c r="BS530" s="51"/>
      <c r="BT530" s="67"/>
      <c r="BU530" s="22"/>
      <c r="BV530" s="41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2"/>
      <c r="CP530" s="22"/>
      <c r="CQ530" s="22"/>
      <c r="CR530" s="22"/>
      <c r="CS530" s="22"/>
      <c r="CT530" s="22"/>
      <c r="CU530" s="22"/>
      <c r="CV530" s="22"/>
      <c r="CW530" s="22"/>
      <c r="CX530" s="22"/>
      <c r="CY530" s="22"/>
      <c r="CZ530" s="22"/>
      <c r="DA530" s="22"/>
      <c r="DB530" s="22"/>
      <c r="DC530" s="22"/>
      <c r="DD530" s="22"/>
      <c r="DE530" s="22"/>
      <c r="DF530" s="22"/>
      <c r="DG530" s="22"/>
      <c r="DH530" s="22"/>
      <c r="DI530" s="22"/>
      <c r="DJ530" s="22"/>
      <c r="DK530" s="22"/>
      <c r="DL530" s="22"/>
      <c r="DM530" s="22"/>
      <c r="DN530" s="22"/>
      <c r="DO530" s="22"/>
      <c r="DP530" s="22"/>
      <c r="DQ530" s="22"/>
      <c r="DR530" s="22"/>
      <c r="DS530" s="22"/>
      <c r="DT530" s="22"/>
      <c r="DU530" s="22"/>
      <c r="DV530" s="42"/>
      <c r="DW530" s="23"/>
    </row>
    <row r="531" spans="1:129" customFormat="1">
      <c r="A531" s="194" t="s">
        <v>182</v>
      </c>
      <c r="B531" s="194"/>
      <c r="C531" s="8">
        <f>COUNTA(C503:C526)</f>
        <v>24</v>
      </c>
      <c r="D531" s="10"/>
      <c r="E531" s="10"/>
      <c r="F531" s="10">
        <f>SUM(C527:F527)</f>
        <v>469</v>
      </c>
      <c r="G531" s="98">
        <f>G527/F531</f>
        <v>7.6759061833688705E-2</v>
      </c>
      <c r="H531" s="104">
        <f>H527/S527</f>
        <v>1.0050251256281407E-2</v>
      </c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30"/>
      <c r="T531" s="10"/>
      <c r="U531" s="98">
        <f>U527/S527</f>
        <v>0.457286432160804</v>
      </c>
      <c r="V531" s="98">
        <f>V527/S527</f>
        <v>0.37060301507537691</v>
      </c>
      <c r="W531" s="276">
        <f>W527/S527</f>
        <v>0</v>
      </c>
      <c r="X531" s="276">
        <f>X527/S527</f>
        <v>2.5125628140703518E-3</v>
      </c>
      <c r="Y531" s="10"/>
      <c r="Z531" s="8"/>
      <c r="AA531" s="10"/>
      <c r="AB531" s="10"/>
      <c r="AC531" s="8"/>
      <c r="AD531" s="10"/>
      <c r="AE531" s="30"/>
      <c r="AF531" s="10"/>
      <c r="AG531" s="8"/>
      <c r="AH531" s="10"/>
      <c r="AI531" s="10"/>
      <c r="AJ531" s="5"/>
      <c r="AK531" s="10"/>
      <c r="AL531" s="8"/>
      <c r="AM531" s="10"/>
      <c r="AN531" s="30"/>
      <c r="AO531" s="10"/>
      <c r="AP531" s="10"/>
      <c r="AQ531" s="30"/>
      <c r="AR531" s="10"/>
      <c r="AS531" s="10"/>
      <c r="AT531" s="10"/>
      <c r="AU531" s="10"/>
      <c r="AV531" s="5"/>
      <c r="AW531" s="10"/>
      <c r="AX531" s="326"/>
      <c r="AY531" s="5"/>
      <c r="AZ531" s="10"/>
      <c r="BA531" s="8"/>
      <c r="BB531" s="10"/>
      <c r="BC531" s="10"/>
      <c r="BD531" s="10"/>
      <c r="BE531" s="10"/>
      <c r="BF531" s="10"/>
      <c r="BG531" s="10"/>
      <c r="BH531" s="30"/>
      <c r="BI531" s="10"/>
      <c r="BJ531" s="338"/>
      <c r="BK531" s="338"/>
      <c r="BL531" s="303"/>
      <c r="BM531" s="5"/>
      <c r="BN531" s="10"/>
      <c r="BO531" s="8"/>
      <c r="BP531" s="5"/>
      <c r="BQ531" s="10"/>
      <c r="BR531" s="65"/>
      <c r="BS531" s="19"/>
      <c r="BT531" s="14"/>
      <c r="BU531" s="10"/>
      <c r="BV531" s="8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  <c r="DG531" s="10"/>
      <c r="DH531" s="10"/>
      <c r="DI531" s="10"/>
      <c r="DJ531" s="10"/>
      <c r="DK531" s="10"/>
      <c r="DL531" s="10"/>
      <c r="DM531" s="10"/>
      <c r="DN531" s="10"/>
      <c r="DO531" s="10"/>
      <c r="DP531" s="10"/>
      <c r="DQ531" s="10"/>
      <c r="DR531" s="10"/>
      <c r="DS531" s="10"/>
      <c r="DT531" s="10"/>
      <c r="DU531" s="10"/>
      <c r="DV531" s="5"/>
      <c r="DW531" s="10"/>
    </row>
    <row r="532" spans="1:129" customFormat="1">
      <c r="A532" s="194"/>
      <c r="B532" s="194"/>
      <c r="C532" s="8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30"/>
      <c r="T532" s="10"/>
      <c r="U532" s="1"/>
      <c r="V532" s="1"/>
      <c r="W532" s="10"/>
      <c r="X532" s="5"/>
      <c r="Y532" s="10"/>
      <c r="Z532" s="8"/>
      <c r="AA532" s="10"/>
      <c r="AB532" s="10"/>
      <c r="AC532" s="8"/>
      <c r="AD532" s="10"/>
      <c r="AE532" s="30"/>
      <c r="AF532" s="10"/>
      <c r="AG532" s="8"/>
      <c r="AH532" s="10"/>
      <c r="AI532" s="10"/>
      <c r="AJ532" s="5"/>
      <c r="AK532" s="10"/>
      <c r="AL532" s="8"/>
      <c r="AM532" s="10"/>
      <c r="AN532" s="30"/>
      <c r="AO532" s="10"/>
      <c r="AP532" s="10"/>
      <c r="AQ532" s="30"/>
      <c r="AR532" s="10"/>
      <c r="AS532" s="10"/>
      <c r="AT532" s="10"/>
      <c r="AU532" s="10"/>
      <c r="AV532" s="5"/>
      <c r="AW532" s="10"/>
      <c r="AX532" s="326"/>
      <c r="AY532" s="5"/>
      <c r="AZ532" s="10"/>
      <c r="BA532" s="8"/>
      <c r="BB532" s="10"/>
      <c r="BC532" s="10"/>
      <c r="BD532" s="10"/>
      <c r="BE532" s="10"/>
      <c r="BF532" s="10"/>
      <c r="BG532" s="10"/>
      <c r="BH532" s="30"/>
      <c r="BI532" s="10"/>
      <c r="BJ532" s="338"/>
      <c r="BK532" s="338"/>
      <c r="BL532" s="303"/>
      <c r="BM532" s="5"/>
      <c r="BN532" s="10"/>
      <c r="BO532" s="8"/>
      <c r="BP532" s="5"/>
      <c r="BQ532" s="10"/>
      <c r="BR532" s="65"/>
      <c r="BS532" s="19"/>
      <c r="BT532" s="14"/>
      <c r="BU532" s="10"/>
      <c r="BV532" s="8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  <c r="DG532" s="10"/>
      <c r="DH532" s="10"/>
      <c r="DI532" s="10"/>
      <c r="DJ532" s="10"/>
      <c r="DK532" s="10"/>
      <c r="DL532" s="10"/>
      <c r="DM532" s="10"/>
      <c r="DN532" s="10"/>
      <c r="DO532" s="10"/>
      <c r="DP532" s="10"/>
      <c r="DQ532" s="10"/>
      <c r="DR532" s="10"/>
      <c r="DS532" s="10"/>
      <c r="DT532" s="10"/>
      <c r="DU532" s="10"/>
      <c r="DV532" s="5"/>
      <c r="DW532" s="10"/>
    </row>
    <row r="533" spans="1:129" customFormat="1" ht="12" thickBot="1">
      <c r="A533" s="194"/>
      <c r="B533" s="194"/>
      <c r="C533" s="8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30"/>
      <c r="T533" s="10"/>
      <c r="U533" s="1"/>
      <c r="V533" s="1"/>
      <c r="W533" s="10"/>
      <c r="X533" s="5"/>
      <c r="Y533" s="10"/>
      <c r="Z533" s="8"/>
      <c r="AA533" s="10"/>
      <c r="AB533" s="10"/>
      <c r="AC533" s="8"/>
      <c r="AD533" s="10"/>
      <c r="AE533" s="30"/>
      <c r="AF533" s="10"/>
      <c r="AG533" s="8"/>
      <c r="AH533" s="10"/>
      <c r="AI533" s="10"/>
      <c r="AJ533" s="5"/>
      <c r="AK533" s="10"/>
      <c r="AL533" s="8"/>
      <c r="AM533" s="10"/>
      <c r="AN533" s="30"/>
      <c r="AO533" s="10"/>
      <c r="AP533" s="10"/>
      <c r="AQ533" s="30"/>
      <c r="AR533" s="10"/>
      <c r="AS533" s="10"/>
      <c r="AT533" s="10"/>
      <c r="AU533" s="10"/>
      <c r="AV533" s="5"/>
      <c r="AW533" s="10"/>
      <c r="AX533" s="326"/>
      <c r="AY533" s="5"/>
      <c r="AZ533" s="10"/>
      <c r="BA533" s="8"/>
      <c r="BB533" s="10"/>
      <c r="BC533" s="10"/>
      <c r="BD533" s="10"/>
      <c r="BE533" s="10"/>
      <c r="BF533" s="10"/>
      <c r="BG533" s="10"/>
      <c r="BH533" s="30"/>
      <c r="BI533" s="10"/>
      <c r="BJ533" s="338"/>
      <c r="BK533" s="338"/>
      <c r="BL533" s="303"/>
      <c r="BM533" s="5"/>
      <c r="BN533" s="10"/>
      <c r="BO533" s="8"/>
      <c r="BP533" s="5"/>
      <c r="BQ533" s="10"/>
      <c r="BR533" s="65"/>
      <c r="BS533" s="19"/>
      <c r="BT533" s="14"/>
      <c r="BU533" s="10"/>
      <c r="BV533" s="8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  <c r="DG533" s="10"/>
      <c r="DH533" s="10"/>
      <c r="DI533" s="10"/>
      <c r="DJ533" s="10"/>
      <c r="DK533" s="10"/>
      <c r="DL533" s="10"/>
      <c r="DM533" s="10"/>
      <c r="DN533" s="10"/>
      <c r="DO533" s="10"/>
      <c r="DP533" s="10"/>
      <c r="DQ533" s="10"/>
      <c r="DR533" s="10"/>
      <c r="DS533" s="10"/>
      <c r="DT533" s="10"/>
      <c r="DU533" s="10"/>
      <c r="DV533" s="5"/>
      <c r="DW533" s="10"/>
    </row>
    <row r="534" spans="1:129" customFormat="1">
      <c r="A534" s="208">
        <v>38534</v>
      </c>
      <c r="B534" s="209"/>
      <c r="C534" s="36">
        <v>2</v>
      </c>
      <c r="D534" s="9">
        <v>12</v>
      </c>
      <c r="E534" s="9">
        <v>0</v>
      </c>
      <c r="F534" s="9">
        <v>0</v>
      </c>
      <c r="G534" s="9">
        <v>0</v>
      </c>
      <c r="H534" s="9">
        <v>1</v>
      </c>
      <c r="I534" s="9">
        <v>0</v>
      </c>
      <c r="J534" s="9">
        <v>11</v>
      </c>
      <c r="K534" s="9">
        <v>0</v>
      </c>
      <c r="L534" s="9">
        <v>0</v>
      </c>
      <c r="M534" s="9">
        <v>0</v>
      </c>
      <c r="N534" s="9">
        <v>0</v>
      </c>
      <c r="O534" s="9">
        <v>30</v>
      </c>
      <c r="P534" s="9">
        <v>0</v>
      </c>
      <c r="Q534" s="9">
        <v>0</v>
      </c>
      <c r="R534" s="9">
        <v>0</v>
      </c>
      <c r="S534" s="33">
        <f>SUM(C534:R534)</f>
        <v>56</v>
      </c>
      <c r="T534" s="9"/>
      <c r="U534" s="9">
        <v>6</v>
      </c>
      <c r="V534" s="9">
        <v>4</v>
      </c>
      <c r="W534" s="9">
        <v>0</v>
      </c>
      <c r="X534" s="37">
        <v>0</v>
      </c>
      <c r="Y534" s="9"/>
      <c r="Z534" s="91">
        <v>582656</v>
      </c>
      <c r="AA534" s="94"/>
      <c r="AB534" s="94"/>
      <c r="AC534" s="91">
        <v>1286745</v>
      </c>
      <c r="AD534" s="9"/>
      <c r="AE534" s="33">
        <f t="shared" ref="AE534:AE557" si="251">SUM(AC534:AD534)</f>
        <v>1286745</v>
      </c>
      <c r="AF534" s="9"/>
      <c r="AG534" s="91">
        <v>51</v>
      </c>
      <c r="AH534" s="92">
        <v>42</v>
      </c>
      <c r="AI534" s="92">
        <v>106</v>
      </c>
      <c r="AJ534" s="93"/>
      <c r="AK534" s="9"/>
      <c r="AL534" s="36">
        <v>0</v>
      </c>
      <c r="AM534" s="9">
        <v>55</v>
      </c>
      <c r="AN534" s="33">
        <f>SUM(AL534:AM534)</f>
        <v>55</v>
      </c>
      <c r="AO534" s="280"/>
      <c r="AP534" s="280"/>
      <c r="AQ534" s="282"/>
      <c r="AR534" s="92">
        <v>155</v>
      </c>
      <c r="AS534" s="92">
        <v>53</v>
      </c>
      <c r="AT534" s="92">
        <v>86</v>
      </c>
      <c r="AU534" s="92">
        <v>23</v>
      </c>
      <c r="AV534" s="93">
        <v>190</v>
      </c>
      <c r="AW534" s="9"/>
      <c r="AX534" s="325">
        <v>38533</v>
      </c>
      <c r="AY534" s="37">
        <v>-1</v>
      </c>
      <c r="AZ534" s="9"/>
      <c r="BA534" s="91">
        <v>1803</v>
      </c>
      <c r="BB534" s="92">
        <v>33823844</v>
      </c>
      <c r="BC534" s="92"/>
      <c r="BD534" s="92"/>
      <c r="BE534" s="92">
        <v>42</v>
      </c>
      <c r="BF534" s="92">
        <v>2</v>
      </c>
      <c r="BG534" s="92">
        <v>0</v>
      </c>
      <c r="BH534" s="352"/>
      <c r="BI534" s="92">
        <v>1357624</v>
      </c>
      <c r="BJ534" s="337">
        <v>38543</v>
      </c>
      <c r="BK534" s="337">
        <v>38596</v>
      </c>
      <c r="BL534" s="319">
        <f>BK534-BJ534</f>
        <v>53</v>
      </c>
      <c r="BM534" s="93"/>
      <c r="BN534" s="9"/>
      <c r="BO534" s="36"/>
      <c r="BP534" s="93">
        <v>155</v>
      </c>
      <c r="BQ534" s="9"/>
      <c r="BR534" s="74">
        <v>2006</v>
      </c>
      <c r="BS534" s="75">
        <v>2005</v>
      </c>
      <c r="BT534" s="13">
        <v>13</v>
      </c>
      <c r="BU534" s="9"/>
      <c r="BV534" s="36">
        <v>1</v>
      </c>
      <c r="BW534" s="9">
        <v>0</v>
      </c>
      <c r="BX534" s="9">
        <v>0</v>
      </c>
      <c r="BY534" s="9"/>
      <c r="BZ534" s="9"/>
      <c r="CA534" s="9"/>
      <c r="CB534" s="9"/>
      <c r="CC534" s="223"/>
      <c r="CD534" s="9">
        <v>6</v>
      </c>
      <c r="CE534" s="9">
        <v>0</v>
      </c>
      <c r="CF534" s="9">
        <v>0</v>
      </c>
      <c r="CG534" s="9">
        <v>0</v>
      </c>
      <c r="CH534" s="9"/>
      <c r="CI534" s="9">
        <v>1</v>
      </c>
      <c r="CJ534" s="9">
        <v>2</v>
      </c>
      <c r="CK534" s="9"/>
      <c r="CL534" s="9"/>
      <c r="CM534" s="9">
        <v>0</v>
      </c>
      <c r="CN534" s="9"/>
      <c r="CO534" s="9">
        <v>6</v>
      </c>
      <c r="CP534" s="220"/>
      <c r="CQ534" s="9"/>
      <c r="CR534" s="9"/>
      <c r="CS534" s="9">
        <v>0</v>
      </c>
      <c r="CT534" s="9">
        <v>8</v>
      </c>
      <c r="CU534" s="9">
        <v>0</v>
      </c>
      <c r="CV534" s="9">
        <v>3</v>
      </c>
      <c r="CW534" s="9"/>
      <c r="CX534" s="9"/>
      <c r="CY534" s="9">
        <v>5</v>
      </c>
      <c r="CZ534" s="9"/>
      <c r="DA534" s="9"/>
      <c r="DB534" s="9">
        <v>1</v>
      </c>
      <c r="DC534" s="9"/>
      <c r="DD534" s="9"/>
      <c r="DE534" s="9"/>
      <c r="DF534" s="9"/>
      <c r="DG534" s="9">
        <v>0</v>
      </c>
      <c r="DH534" s="9">
        <v>0</v>
      </c>
      <c r="DI534" s="9">
        <v>0</v>
      </c>
      <c r="DJ534" s="9">
        <v>0</v>
      </c>
      <c r="DK534" s="9"/>
      <c r="DL534" s="9"/>
      <c r="DM534" s="9">
        <v>0</v>
      </c>
      <c r="DN534" s="9">
        <v>0</v>
      </c>
      <c r="DO534" s="9">
        <v>1</v>
      </c>
      <c r="DP534" s="9"/>
      <c r="DQ534" s="9"/>
      <c r="DR534" s="9"/>
      <c r="DS534" s="9">
        <v>22</v>
      </c>
      <c r="DT534" s="9">
        <v>0</v>
      </c>
      <c r="DU534" s="9">
        <v>0</v>
      </c>
      <c r="DV534" s="44">
        <f t="shared" ref="DV534:DV558" si="252">SUM(BV534:DU534)</f>
        <v>56</v>
      </c>
      <c r="DW534" s="13" t="str">
        <f t="shared" ref="DW534:DW557" si="253">IF(DV534=S534,"","PROB")</f>
        <v/>
      </c>
      <c r="DY534">
        <f>S534</f>
        <v>56</v>
      </c>
    </row>
    <row r="535" spans="1:129" customFormat="1">
      <c r="A535" s="210">
        <v>38548</v>
      </c>
      <c r="B535" s="211"/>
      <c r="C535" s="8">
        <v>3</v>
      </c>
      <c r="D535" s="10">
        <v>11</v>
      </c>
      <c r="E535" s="10">
        <v>2</v>
      </c>
      <c r="F535" s="59">
        <v>1</v>
      </c>
      <c r="G535" s="59">
        <v>3</v>
      </c>
      <c r="H535" s="59">
        <v>1</v>
      </c>
      <c r="I535" s="59">
        <v>0</v>
      </c>
      <c r="J535" s="59">
        <v>9</v>
      </c>
      <c r="K535" s="59">
        <v>1</v>
      </c>
      <c r="L535" s="59">
        <v>0</v>
      </c>
      <c r="M535" s="59">
        <v>0</v>
      </c>
      <c r="N535" s="59">
        <v>0</v>
      </c>
      <c r="O535" s="59">
        <v>6</v>
      </c>
      <c r="P535" s="59">
        <v>0</v>
      </c>
      <c r="Q535" s="59">
        <v>0</v>
      </c>
      <c r="R535" s="59">
        <v>0</v>
      </c>
      <c r="S535" s="35">
        <f>SUM(C535:R535)</f>
        <v>37</v>
      </c>
      <c r="T535" s="59"/>
      <c r="U535" s="59">
        <v>13</v>
      </c>
      <c r="V535" s="59">
        <v>10</v>
      </c>
      <c r="W535" s="59">
        <v>0</v>
      </c>
      <c r="X535" s="5">
        <v>0</v>
      </c>
      <c r="Y535" s="10"/>
      <c r="Z535" s="61">
        <v>2258944</v>
      </c>
      <c r="AA535" s="98"/>
      <c r="AB535" s="98"/>
      <c r="AC535" s="61">
        <v>904691</v>
      </c>
      <c r="AD535" s="59"/>
      <c r="AE535" s="35">
        <f t="shared" si="251"/>
        <v>904691</v>
      </c>
      <c r="AF535" s="10"/>
      <c r="AG535" s="61">
        <v>96</v>
      </c>
      <c r="AH535" s="59">
        <v>45</v>
      </c>
      <c r="AI535" s="59">
        <v>160</v>
      </c>
      <c r="AJ535" s="62"/>
      <c r="AK535" s="10"/>
      <c r="AL535" s="8"/>
      <c r="AM535" s="10"/>
      <c r="AN535" s="35"/>
      <c r="AO535" s="279"/>
      <c r="AP535" s="279"/>
      <c r="AQ535" s="281"/>
      <c r="AR535" s="59">
        <v>154</v>
      </c>
      <c r="AS535" s="59">
        <v>53</v>
      </c>
      <c r="AT535" s="59">
        <v>86</v>
      </c>
      <c r="AU535" s="59">
        <v>23</v>
      </c>
      <c r="AV535" s="62">
        <v>190</v>
      </c>
      <c r="AW535" s="10"/>
      <c r="AX535" s="326">
        <v>38547</v>
      </c>
      <c r="AY535" s="5">
        <v>-1</v>
      </c>
      <c r="AZ535" s="10"/>
      <c r="BA535" s="61"/>
      <c r="BB535" s="59"/>
      <c r="BC535" s="59"/>
      <c r="BD535" s="59"/>
      <c r="BE535" s="59"/>
      <c r="BF535" s="59"/>
      <c r="BG535" s="59"/>
      <c r="BH535" s="351"/>
      <c r="BI535" s="59"/>
      <c r="BJ535" s="342"/>
      <c r="BK535" s="335"/>
      <c r="BL535" s="320"/>
      <c r="BM535" s="62"/>
      <c r="BN535" s="10"/>
      <c r="BO535" s="8"/>
      <c r="BP535" s="62"/>
      <c r="BQ535" s="10"/>
      <c r="BR535" s="29">
        <v>2006</v>
      </c>
      <c r="BS535" s="64">
        <v>2005</v>
      </c>
      <c r="BT535" s="14">
        <v>14</v>
      </c>
      <c r="BU535" s="10"/>
      <c r="BV535" s="8">
        <v>0</v>
      </c>
      <c r="BW535" s="10">
        <v>0</v>
      </c>
      <c r="BX535" s="59">
        <v>1</v>
      </c>
      <c r="BY535" s="59"/>
      <c r="BZ535" s="59"/>
      <c r="CA535" s="59"/>
      <c r="CB535" s="59"/>
      <c r="CC535" s="221"/>
      <c r="CD535" s="59">
        <v>4</v>
      </c>
      <c r="CE535" s="59">
        <v>0</v>
      </c>
      <c r="CF535" s="59">
        <v>1</v>
      </c>
      <c r="CG535" s="59">
        <v>0</v>
      </c>
      <c r="CH535" s="59"/>
      <c r="CI535" s="59">
        <v>2</v>
      </c>
      <c r="CJ535" s="59">
        <v>2</v>
      </c>
      <c r="CK535" s="59"/>
      <c r="CL535" s="59"/>
      <c r="CM535" s="59">
        <v>0</v>
      </c>
      <c r="CN535" s="59"/>
      <c r="CO535" s="59">
        <v>2</v>
      </c>
      <c r="CP535" s="317"/>
      <c r="CQ535" s="59"/>
      <c r="CR535" s="59"/>
      <c r="CS535" s="59">
        <v>0</v>
      </c>
      <c r="CT535" s="59">
        <v>4</v>
      </c>
      <c r="CU535" s="59">
        <v>0</v>
      </c>
      <c r="CV535" s="59">
        <v>3</v>
      </c>
      <c r="CW535" s="59"/>
      <c r="CX535" s="59"/>
      <c r="CY535" s="59">
        <v>0</v>
      </c>
      <c r="CZ535" s="59"/>
      <c r="DA535" s="59"/>
      <c r="DB535" s="59">
        <v>4</v>
      </c>
      <c r="DC535" s="59"/>
      <c r="DD535" s="59"/>
      <c r="DE535" s="59"/>
      <c r="DF535" s="59"/>
      <c r="DG535" s="59">
        <v>3</v>
      </c>
      <c r="DH535" s="59">
        <v>1</v>
      </c>
      <c r="DI535" s="59">
        <v>1</v>
      </c>
      <c r="DJ535" s="59">
        <v>0</v>
      </c>
      <c r="DK535" s="59"/>
      <c r="DL535" s="59"/>
      <c r="DM535" s="59">
        <v>4</v>
      </c>
      <c r="DN535" s="59">
        <v>0</v>
      </c>
      <c r="DO535" s="59">
        <v>0</v>
      </c>
      <c r="DP535" s="59"/>
      <c r="DQ535" s="59"/>
      <c r="DR535" s="59"/>
      <c r="DS535" s="59">
        <v>5</v>
      </c>
      <c r="DT535" s="59">
        <v>0</v>
      </c>
      <c r="DU535" s="59">
        <v>0</v>
      </c>
      <c r="DV535" s="38">
        <f t="shared" si="252"/>
        <v>37</v>
      </c>
      <c r="DW535" s="14" t="str">
        <f t="shared" si="253"/>
        <v/>
      </c>
      <c r="DY535">
        <f>S535</f>
        <v>37</v>
      </c>
    </row>
    <row r="536" spans="1:129" customFormat="1">
      <c r="A536" s="210">
        <v>38565</v>
      </c>
      <c r="B536" s="211"/>
      <c r="C536" s="8">
        <v>0</v>
      </c>
      <c r="D536" s="10">
        <v>6</v>
      </c>
      <c r="E536" s="10">
        <v>0</v>
      </c>
      <c r="F536" s="59">
        <v>0</v>
      </c>
      <c r="G536" s="59">
        <v>10</v>
      </c>
      <c r="H536" s="59">
        <v>0</v>
      </c>
      <c r="I536" s="59">
        <v>0</v>
      </c>
      <c r="J536" s="59">
        <v>12</v>
      </c>
      <c r="K536" s="59">
        <v>0</v>
      </c>
      <c r="L536" s="59">
        <v>0</v>
      </c>
      <c r="M536" s="59">
        <v>0</v>
      </c>
      <c r="N536" s="59">
        <v>0</v>
      </c>
      <c r="O536" s="59">
        <v>9</v>
      </c>
      <c r="P536" s="59">
        <v>0</v>
      </c>
      <c r="Q536" s="59">
        <v>0</v>
      </c>
      <c r="R536" s="59">
        <v>0</v>
      </c>
      <c r="S536" s="35">
        <f t="shared" ref="S536:S556" si="254">SUM(C536:R536)</f>
        <v>37</v>
      </c>
      <c r="T536" s="59"/>
      <c r="U536" s="59">
        <v>11</v>
      </c>
      <c r="V536" s="59">
        <v>11</v>
      </c>
      <c r="W536" s="59">
        <v>0</v>
      </c>
      <c r="X536" s="5">
        <v>0</v>
      </c>
      <c r="Y536" s="10"/>
      <c r="Z536" s="61">
        <v>1947136</v>
      </c>
      <c r="AA536" s="95"/>
      <c r="AB536" s="95"/>
      <c r="AC536" s="61">
        <v>819786</v>
      </c>
      <c r="AD536" s="59"/>
      <c r="AE536" s="35">
        <f t="shared" si="251"/>
        <v>819786</v>
      </c>
      <c r="AF536" s="10"/>
      <c r="AG536" s="61">
        <v>45</v>
      </c>
      <c r="AH536" s="59">
        <v>47</v>
      </c>
      <c r="AI536" s="59">
        <v>110</v>
      </c>
      <c r="AJ536" s="62"/>
      <c r="AK536" s="10"/>
      <c r="AL536" s="8"/>
      <c r="AM536" s="10"/>
      <c r="AN536" s="35"/>
      <c r="AO536" s="279"/>
      <c r="AP536" s="279"/>
      <c r="AQ536" s="281"/>
      <c r="AR536" s="59">
        <v>154</v>
      </c>
      <c r="AS536" s="59">
        <v>56</v>
      </c>
      <c r="AT536" s="59">
        <v>83</v>
      </c>
      <c r="AU536" s="59">
        <v>23</v>
      </c>
      <c r="AV536" s="62">
        <v>192</v>
      </c>
      <c r="AW536" s="10"/>
      <c r="AX536" s="326">
        <v>38562</v>
      </c>
      <c r="AY536" s="5">
        <v>-3</v>
      </c>
      <c r="AZ536" s="10"/>
      <c r="BA536" s="61">
        <v>1806</v>
      </c>
      <c r="BB536" s="59">
        <v>35796557</v>
      </c>
      <c r="BC536" s="59"/>
      <c r="BD536" s="59"/>
      <c r="BE536" s="59">
        <v>108</v>
      </c>
      <c r="BF536" s="59">
        <v>6</v>
      </c>
      <c r="BG536" s="59">
        <v>3</v>
      </c>
      <c r="BH536" s="351"/>
      <c r="BI536" s="59">
        <v>4864377</v>
      </c>
      <c r="BJ536" s="342">
        <v>38574</v>
      </c>
      <c r="BK536" s="342">
        <v>38637</v>
      </c>
      <c r="BL536" s="320">
        <f>BK536-BJ536</f>
        <v>63</v>
      </c>
      <c r="BM536" s="62"/>
      <c r="BN536" s="10"/>
      <c r="BO536" s="8"/>
      <c r="BP536" s="62">
        <v>155</v>
      </c>
      <c r="BQ536" s="10"/>
      <c r="BR536" s="29">
        <v>2006</v>
      </c>
      <c r="BS536" s="64">
        <v>2005</v>
      </c>
      <c r="BT536" s="14">
        <v>15</v>
      </c>
      <c r="BU536" s="10"/>
      <c r="BV536" s="8">
        <v>0</v>
      </c>
      <c r="BW536" s="10">
        <v>0</v>
      </c>
      <c r="BX536" s="59">
        <v>0</v>
      </c>
      <c r="BY536" s="59"/>
      <c r="BZ536" s="59"/>
      <c r="CA536" s="59"/>
      <c r="CB536" s="59"/>
      <c r="CC536" s="221"/>
      <c r="CD536" s="59">
        <v>0</v>
      </c>
      <c r="CE536" s="59">
        <v>0</v>
      </c>
      <c r="CF536" s="59">
        <v>0</v>
      </c>
      <c r="CG536" s="59">
        <v>2</v>
      </c>
      <c r="CH536" s="59"/>
      <c r="CI536" s="59">
        <v>3</v>
      </c>
      <c r="CJ536" s="59">
        <v>13</v>
      </c>
      <c r="CK536" s="59"/>
      <c r="CL536" s="59"/>
      <c r="CM536" s="59">
        <v>0</v>
      </c>
      <c r="CN536" s="59"/>
      <c r="CO536" s="59">
        <v>1</v>
      </c>
      <c r="CP536" s="317"/>
      <c r="CQ536" s="59"/>
      <c r="CR536" s="59"/>
      <c r="CS536" s="59">
        <v>0</v>
      </c>
      <c r="CT536" s="59">
        <v>2</v>
      </c>
      <c r="CU536" s="59">
        <v>0</v>
      </c>
      <c r="CV536" s="59">
        <v>0</v>
      </c>
      <c r="CW536" s="59"/>
      <c r="CX536" s="59"/>
      <c r="CY536" s="59">
        <v>0</v>
      </c>
      <c r="CZ536" s="59"/>
      <c r="DA536" s="59"/>
      <c r="DB536" s="59">
        <v>15</v>
      </c>
      <c r="DC536" s="59"/>
      <c r="DD536" s="59"/>
      <c r="DE536" s="59"/>
      <c r="DF536" s="59"/>
      <c r="DG536" s="59">
        <v>0</v>
      </c>
      <c r="DH536" s="59">
        <v>0</v>
      </c>
      <c r="DI536" s="59">
        <v>1</v>
      </c>
      <c r="DJ536" s="59">
        <v>0</v>
      </c>
      <c r="DK536" s="59"/>
      <c r="DL536" s="59"/>
      <c r="DM536" s="59">
        <v>0</v>
      </c>
      <c r="DN536" s="59">
        <v>0</v>
      </c>
      <c r="DO536" s="59">
        <v>0</v>
      </c>
      <c r="DP536" s="59"/>
      <c r="DQ536" s="59"/>
      <c r="DR536" s="59"/>
      <c r="DS536" s="59">
        <v>0</v>
      </c>
      <c r="DT536" s="59">
        <v>0</v>
      </c>
      <c r="DU536" s="59">
        <v>0</v>
      </c>
      <c r="DV536" s="38">
        <f t="shared" si="252"/>
        <v>37</v>
      </c>
      <c r="DW536" s="14" t="str">
        <f t="shared" si="253"/>
        <v/>
      </c>
      <c r="DY536">
        <f>S536</f>
        <v>37</v>
      </c>
    </row>
    <row r="537" spans="1:129" customFormat="1">
      <c r="A537" s="210">
        <v>38579</v>
      </c>
      <c r="B537" s="211"/>
      <c r="C537" s="61">
        <v>2</v>
      </c>
      <c r="D537" s="59">
        <v>12</v>
      </c>
      <c r="E537" s="59">
        <v>2</v>
      </c>
      <c r="F537" s="59">
        <v>1</v>
      </c>
      <c r="G537" s="59">
        <v>3</v>
      </c>
      <c r="H537" s="59">
        <v>0</v>
      </c>
      <c r="I537" s="59">
        <v>0</v>
      </c>
      <c r="J537" s="59">
        <v>3</v>
      </c>
      <c r="K537" s="59">
        <v>1</v>
      </c>
      <c r="L537" s="59">
        <v>0</v>
      </c>
      <c r="M537" s="59">
        <v>0</v>
      </c>
      <c r="N537" s="59">
        <v>0</v>
      </c>
      <c r="O537" s="59">
        <v>9</v>
      </c>
      <c r="P537" s="59">
        <v>0</v>
      </c>
      <c r="Q537" s="59">
        <v>1</v>
      </c>
      <c r="R537" s="59">
        <v>1</v>
      </c>
      <c r="S537" s="35">
        <f t="shared" si="254"/>
        <v>35</v>
      </c>
      <c r="T537" s="59"/>
      <c r="U537" s="59">
        <v>15</v>
      </c>
      <c r="V537" s="59">
        <v>10</v>
      </c>
      <c r="W537" s="59">
        <v>0</v>
      </c>
      <c r="X537" s="62">
        <v>0</v>
      </c>
      <c r="Y537" s="59"/>
      <c r="Z537" s="61">
        <v>2093568</v>
      </c>
      <c r="AA537" s="59"/>
      <c r="AB537" s="59"/>
      <c r="AC537" s="61">
        <v>427577</v>
      </c>
      <c r="AD537" s="59"/>
      <c r="AE537" s="35">
        <f t="shared" si="251"/>
        <v>427577</v>
      </c>
      <c r="AF537" s="10"/>
      <c r="AG537" s="61">
        <v>53</v>
      </c>
      <c r="AH537" s="59">
        <v>55</v>
      </c>
      <c r="AI537" s="59">
        <v>118</v>
      </c>
      <c r="AJ537" s="62"/>
      <c r="AK537" s="10"/>
      <c r="AL537" s="8"/>
      <c r="AM537" s="10"/>
      <c r="AN537" s="35"/>
      <c r="AO537" s="279"/>
      <c r="AP537" s="279"/>
      <c r="AQ537" s="281"/>
      <c r="AR537" s="59">
        <v>154</v>
      </c>
      <c r="AS537" s="59">
        <v>56</v>
      </c>
      <c r="AT537" s="59">
        <v>86</v>
      </c>
      <c r="AU537" s="59">
        <v>23</v>
      </c>
      <c r="AV537" s="62">
        <v>195</v>
      </c>
      <c r="AW537" s="10"/>
      <c r="AX537" s="326">
        <v>38576</v>
      </c>
      <c r="AY537" s="5">
        <v>-3</v>
      </c>
      <c r="AZ537" s="10"/>
      <c r="BA537" s="61"/>
      <c r="BB537" s="59"/>
      <c r="BC537" s="59"/>
      <c r="BD537" s="59"/>
      <c r="BE537" s="59"/>
      <c r="BF537" s="59"/>
      <c r="BG537" s="59"/>
      <c r="BH537" s="351"/>
      <c r="BI537" s="59"/>
      <c r="BJ537" s="342"/>
      <c r="BK537" s="335"/>
      <c r="BL537" s="320"/>
      <c r="BM537" s="62"/>
      <c r="BN537" s="10"/>
      <c r="BO537" s="8"/>
      <c r="BP537" s="62"/>
      <c r="BQ537" s="10"/>
      <c r="BR537" s="29">
        <v>2006</v>
      </c>
      <c r="BS537" s="64">
        <v>2005</v>
      </c>
      <c r="BT537" s="14">
        <v>16</v>
      </c>
      <c r="BU537" s="10"/>
      <c r="BV537" s="8">
        <v>0</v>
      </c>
      <c r="BW537" s="59">
        <v>1</v>
      </c>
      <c r="BX537" s="59">
        <v>0</v>
      </c>
      <c r="BY537" s="59"/>
      <c r="BZ537" s="59"/>
      <c r="CA537" s="59"/>
      <c r="CB537" s="59"/>
      <c r="CC537" s="221"/>
      <c r="CD537" s="59">
        <v>1</v>
      </c>
      <c r="CE537" s="59">
        <v>0</v>
      </c>
      <c r="CF537" s="59">
        <v>0</v>
      </c>
      <c r="CG537" s="59">
        <v>0</v>
      </c>
      <c r="CH537" s="59"/>
      <c r="CI537" s="59">
        <v>0</v>
      </c>
      <c r="CJ537" s="59">
        <v>6</v>
      </c>
      <c r="CK537" s="59"/>
      <c r="CL537" s="59"/>
      <c r="CM537" s="59">
        <v>0</v>
      </c>
      <c r="CN537" s="59"/>
      <c r="CO537" s="59">
        <v>2</v>
      </c>
      <c r="CP537" s="317"/>
      <c r="CQ537" s="59"/>
      <c r="CR537" s="59"/>
      <c r="CS537" s="59">
        <v>0</v>
      </c>
      <c r="CT537" s="59">
        <v>2</v>
      </c>
      <c r="CU537" s="59">
        <v>0</v>
      </c>
      <c r="CV537" s="59">
        <v>10</v>
      </c>
      <c r="CW537" s="59"/>
      <c r="CX537" s="59"/>
      <c r="CY537" s="59">
        <v>0</v>
      </c>
      <c r="CZ537" s="59"/>
      <c r="DA537" s="59"/>
      <c r="DB537" s="59">
        <v>1</v>
      </c>
      <c r="DC537" s="59"/>
      <c r="DD537" s="59"/>
      <c r="DE537" s="59"/>
      <c r="DF537" s="59"/>
      <c r="DG537" s="59">
        <v>8</v>
      </c>
      <c r="DH537" s="59">
        <v>0</v>
      </c>
      <c r="DI537" s="59">
        <v>0</v>
      </c>
      <c r="DJ537" s="59">
        <v>0</v>
      </c>
      <c r="DK537" s="59"/>
      <c r="DL537" s="59"/>
      <c r="DM537" s="59">
        <v>1</v>
      </c>
      <c r="DN537" s="59">
        <v>0</v>
      </c>
      <c r="DO537" s="59">
        <v>0</v>
      </c>
      <c r="DP537" s="59"/>
      <c r="DQ537" s="59"/>
      <c r="DR537" s="59"/>
      <c r="DS537" s="59">
        <v>2</v>
      </c>
      <c r="DT537" s="59">
        <v>0</v>
      </c>
      <c r="DU537" s="59">
        <v>1</v>
      </c>
      <c r="DV537" s="38">
        <f t="shared" si="252"/>
        <v>35</v>
      </c>
      <c r="DW537" s="14" t="str">
        <f t="shared" si="253"/>
        <v/>
      </c>
      <c r="DY537">
        <f>S537</f>
        <v>35</v>
      </c>
    </row>
    <row r="538" spans="1:129" customFormat="1">
      <c r="A538" s="210">
        <v>38596</v>
      </c>
      <c r="B538" s="211"/>
      <c r="C538" s="61">
        <v>3</v>
      </c>
      <c r="D538" s="59">
        <v>12</v>
      </c>
      <c r="E538" s="59">
        <v>2</v>
      </c>
      <c r="F538" s="59">
        <v>0</v>
      </c>
      <c r="G538" s="59">
        <v>0</v>
      </c>
      <c r="H538" s="59">
        <v>1</v>
      </c>
      <c r="I538" s="59">
        <v>0</v>
      </c>
      <c r="J538" s="59">
        <v>5</v>
      </c>
      <c r="K538" s="59">
        <v>0</v>
      </c>
      <c r="L538" s="59">
        <v>0</v>
      </c>
      <c r="M538" s="59">
        <v>0</v>
      </c>
      <c r="N538" s="59">
        <v>0</v>
      </c>
      <c r="O538" s="59">
        <v>2</v>
      </c>
      <c r="P538" s="59">
        <v>2</v>
      </c>
      <c r="Q538" s="59">
        <v>0</v>
      </c>
      <c r="R538" s="59">
        <v>0</v>
      </c>
      <c r="S538" s="35">
        <f t="shared" si="254"/>
        <v>27</v>
      </c>
      <c r="T538" s="59"/>
      <c r="U538" s="59">
        <v>12</v>
      </c>
      <c r="V538" s="59">
        <v>10</v>
      </c>
      <c r="W538" s="59">
        <v>0</v>
      </c>
      <c r="X538" s="62">
        <v>0</v>
      </c>
      <c r="Y538" s="59"/>
      <c r="Z538" s="61">
        <v>2172928</v>
      </c>
      <c r="AA538" s="59"/>
      <c r="AB538" s="59"/>
      <c r="AC538" s="61">
        <v>584578</v>
      </c>
      <c r="AD538" s="59"/>
      <c r="AE538" s="35">
        <f t="shared" si="251"/>
        <v>584578</v>
      </c>
      <c r="AF538" s="10"/>
      <c r="AG538" s="61">
        <v>53</v>
      </c>
      <c r="AH538" s="59">
        <v>58</v>
      </c>
      <c r="AI538" s="59">
        <v>122</v>
      </c>
      <c r="AJ538" s="62"/>
      <c r="AK538" s="10"/>
      <c r="AL538" s="8"/>
      <c r="AM538" s="10"/>
      <c r="AN538" s="35"/>
      <c r="AO538" s="279"/>
      <c r="AP538" s="279"/>
      <c r="AQ538" s="281"/>
      <c r="AR538" s="59">
        <v>154</v>
      </c>
      <c r="AS538" s="59">
        <v>56</v>
      </c>
      <c r="AT538" s="59">
        <v>87</v>
      </c>
      <c r="AU538" s="59">
        <v>23</v>
      </c>
      <c r="AV538" s="62">
        <v>196</v>
      </c>
      <c r="AW538" s="10"/>
      <c r="AX538" s="326">
        <v>38595</v>
      </c>
      <c r="AY538" s="5">
        <v>-1</v>
      </c>
      <c r="AZ538" s="10"/>
      <c r="BA538" s="61">
        <v>1806</v>
      </c>
      <c r="BB538" s="59">
        <v>36587212</v>
      </c>
      <c r="BC538" s="59"/>
      <c r="BD538" s="59"/>
      <c r="BE538" s="59">
        <v>57</v>
      </c>
      <c r="BF538" s="59">
        <v>3</v>
      </c>
      <c r="BG538" s="59">
        <v>3</v>
      </c>
      <c r="BH538" s="351"/>
      <c r="BI538" s="59">
        <v>2854966</v>
      </c>
      <c r="BJ538" s="342">
        <v>38605</v>
      </c>
      <c r="BK538" s="342">
        <v>38645</v>
      </c>
      <c r="BL538" s="320">
        <f>BK538-BJ538</f>
        <v>40</v>
      </c>
      <c r="BM538" s="62"/>
      <c r="BN538" s="59"/>
      <c r="BO538" s="61"/>
      <c r="BP538" s="62">
        <v>156</v>
      </c>
      <c r="BQ538" s="10"/>
      <c r="BR538" s="29">
        <v>2006</v>
      </c>
      <c r="BS538" s="64">
        <v>2005</v>
      </c>
      <c r="BT538" s="14">
        <v>17</v>
      </c>
      <c r="BU538" s="10"/>
      <c r="BV538" s="8">
        <v>1</v>
      </c>
      <c r="BW538" s="59">
        <v>0</v>
      </c>
      <c r="BX538" s="59">
        <v>0</v>
      </c>
      <c r="BY538" s="59"/>
      <c r="BZ538" s="59"/>
      <c r="CA538" s="59"/>
      <c r="CB538" s="59"/>
      <c r="CC538" s="221"/>
      <c r="CD538" s="59">
        <v>1</v>
      </c>
      <c r="CE538" s="59">
        <v>0</v>
      </c>
      <c r="CF538" s="59">
        <v>0</v>
      </c>
      <c r="CG538" s="59">
        <v>0</v>
      </c>
      <c r="CH538" s="59"/>
      <c r="CI538" s="59">
        <v>7</v>
      </c>
      <c r="CJ538" s="59">
        <v>2</v>
      </c>
      <c r="CK538" s="59"/>
      <c r="CL538" s="59"/>
      <c r="CM538" s="59">
        <v>0</v>
      </c>
      <c r="CN538" s="59"/>
      <c r="CO538" s="59">
        <v>1</v>
      </c>
      <c r="CP538" s="317"/>
      <c r="CQ538" s="59"/>
      <c r="CR538" s="59"/>
      <c r="CS538" s="59">
        <v>0</v>
      </c>
      <c r="CT538" s="59">
        <v>1</v>
      </c>
      <c r="CU538" s="59">
        <v>0</v>
      </c>
      <c r="CV538" s="59">
        <v>2</v>
      </c>
      <c r="CW538" s="59"/>
      <c r="CX538" s="59"/>
      <c r="CY538" s="59">
        <v>2</v>
      </c>
      <c r="CZ538" s="59"/>
      <c r="DA538" s="59"/>
      <c r="DB538" s="59">
        <v>0</v>
      </c>
      <c r="DC538" s="59"/>
      <c r="DD538" s="59"/>
      <c r="DE538" s="59"/>
      <c r="DF538" s="59"/>
      <c r="DG538" s="59">
        <v>0</v>
      </c>
      <c r="DH538" s="59">
        <v>3</v>
      </c>
      <c r="DI538" s="59">
        <v>0</v>
      </c>
      <c r="DJ538" s="59">
        <v>0</v>
      </c>
      <c r="DK538" s="59"/>
      <c r="DL538" s="59"/>
      <c r="DM538" s="59">
        <v>1</v>
      </c>
      <c r="DN538" s="59">
        <v>0</v>
      </c>
      <c r="DO538" s="59">
        <v>5</v>
      </c>
      <c r="DP538" s="59"/>
      <c r="DQ538" s="59"/>
      <c r="DR538" s="59"/>
      <c r="DS538" s="59">
        <v>1</v>
      </c>
      <c r="DT538" s="59">
        <v>0</v>
      </c>
      <c r="DU538" s="59">
        <v>0</v>
      </c>
      <c r="DV538" s="38">
        <f t="shared" si="252"/>
        <v>27</v>
      </c>
      <c r="DW538" s="14" t="str">
        <f t="shared" si="253"/>
        <v/>
      </c>
      <c r="DY538">
        <f>S538</f>
        <v>27</v>
      </c>
    </row>
    <row r="539" spans="1:129" customFormat="1">
      <c r="A539" s="210">
        <v>38610</v>
      </c>
      <c r="B539" s="211"/>
      <c r="C539" s="61">
        <v>4</v>
      </c>
      <c r="D539" s="59">
        <v>22</v>
      </c>
      <c r="E539" s="59">
        <v>1</v>
      </c>
      <c r="F539" s="59">
        <v>0</v>
      </c>
      <c r="G539" s="59">
        <v>1</v>
      </c>
      <c r="H539" s="59">
        <v>0</v>
      </c>
      <c r="I539" s="59">
        <v>0</v>
      </c>
      <c r="J539" s="59">
        <v>3</v>
      </c>
      <c r="K539" s="59">
        <v>0</v>
      </c>
      <c r="L539" s="59">
        <v>0</v>
      </c>
      <c r="M539" s="59">
        <v>0</v>
      </c>
      <c r="N539" s="59">
        <v>0</v>
      </c>
      <c r="O539" s="59">
        <v>11</v>
      </c>
      <c r="P539" s="59">
        <v>0</v>
      </c>
      <c r="Q539" s="59">
        <v>0</v>
      </c>
      <c r="R539" s="59">
        <v>0</v>
      </c>
      <c r="S539" s="35">
        <f t="shared" si="254"/>
        <v>42</v>
      </c>
      <c r="T539" s="59"/>
      <c r="U539" s="59">
        <v>25</v>
      </c>
      <c r="V539" s="59">
        <v>22</v>
      </c>
      <c r="W539" s="59">
        <v>0</v>
      </c>
      <c r="X539" s="62">
        <v>0</v>
      </c>
      <c r="Y539" s="59"/>
      <c r="Z539" s="61">
        <v>2515456</v>
      </c>
      <c r="AA539" s="59"/>
      <c r="AB539" s="59"/>
      <c r="AC539" s="61">
        <v>992854</v>
      </c>
      <c r="AD539" s="59"/>
      <c r="AE539" s="35">
        <f t="shared" si="251"/>
        <v>992854</v>
      </c>
      <c r="AF539" s="10"/>
      <c r="AG539" s="61">
        <v>63</v>
      </c>
      <c r="AH539" s="59">
        <v>64</v>
      </c>
      <c r="AI539" s="59">
        <v>148</v>
      </c>
      <c r="AJ539" s="62"/>
      <c r="AK539" s="10"/>
      <c r="AL539" s="8"/>
      <c r="AM539" s="10"/>
      <c r="AN539" s="35"/>
      <c r="AO539" s="279"/>
      <c r="AP539" s="279"/>
      <c r="AQ539" s="281"/>
      <c r="AR539" s="59">
        <v>154</v>
      </c>
      <c r="AS539" s="59">
        <v>56</v>
      </c>
      <c r="AT539" s="59">
        <v>88</v>
      </c>
      <c r="AU539" s="59">
        <v>24</v>
      </c>
      <c r="AV539" s="62">
        <v>199</v>
      </c>
      <c r="AW539" s="10"/>
      <c r="AX539" s="326">
        <v>38609</v>
      </c>
      <c r="AY539" s="5">
        <v>-1</v>
      </c>
      <c r="AZ539" s="10"/>
      <c r="BA539" s="61"/>
      <c r="BB539" s="59"/>
      <c r="BC539" s="59"/>
      <c r="BD539" s="59"/>
      <c r="BE539" s="59"/>
      <c r="BF539" s="59"/>
      <c r="BG539" s="59"/>
      <c r="BH539" s="351"/>
      <c r="BI539" s="59"/>
      <c r="BJ539" s="342"/>
      <c r="BK539" s="335"/>
      <c r="BL539" s="320"/>
      <c r="BM539" s="62"/>
      <c r="BN539" s="10"/>
      <c r="BO539" s="8"/>
      <c r="BP539" s="62"/>
      <c r="BQ539" s="10"/>
      <c r="BR539" s="29">
        <v>2006</v>
      </c>
      <c r="BS539" s="64">
        <v>2005</v>
      </c>
      <c r="BT539" s="14">
        <v>18</v>
      </c>
      <c r="BU539" s="10"/>
      <c r="BV539" s="8">
        <v>1</v>
      </c>
      <c r="BW539" s="59">
        <v>9</v>
      </c>
      <c r="BX539" s="59">
        <v>2</v>
      </c>
      <c r="BY539" s="59"/>
      <c r="BZ539" s="59"/>
      <c r="CA539" s="59"/>
      <c r="CB539" s="59"/>
      <c r="CC539" s="221"/>
      <c r="CD539" s="59">
        <v>8</v>
      </c>
      <c r="CE539" s="59">
        <v>0</v>
      </c>
      <c r="CF539" s="59">
        <v>0</v>
      </c>
      <c r="CG539" s="59">
        <v>0</v>
      </c>
      <c r="CH539" s="59"/>
      <c r="CI539" s="59">
        <v>0</v>
      </c>
      <c r="CJ539" s="59">
        <v>0</v>
      </c>
      <c r="CK539" s="59"/>
      <c r="CL539" s="59"/>
      <c r="CM539" s="59">
        <v>0</v>
      </c>
      <c r="CN539" s="59"/>
      <c r="CO539" s="59">
        <v>3</v>
      </c>
      <c r="CP539" s="317"/>
      <c r="CQ539" s="59"/>
      <c r="CR539" s="59"/>
      <c r="CS539" s="59">
        <v>1</v>
      </c>
      <c r="CT539" s="59">
        <v>4</v>
      </c>
      <c r="CU539" s="59">
        <v>0</v>
      </c>
      <c r="CV539" s="59">
        <v>2</v>
      </c>
      <c r="CW539" s="59"/>
      <c r="CX539" s="59"/>
      <c r="CY539" s="59">
        <v>0</v>
      </c>
      <c r="CZ539" s="59"/>
      <c r="DA539" s="59"/>
      <c r="DB539" s="59">
        <v>6</v>
      </c>
      <c r="DC539" s="59"/>
      <c r="DD539" s="59"/>
      <c r="DE539" s="59"/>
      <c r="DF539" s="59"/>
      <c r="DG539" s="59">
        <v>2</v>
      </c>
      <c r="DH539" s="59">
        <v>0</v>
      </c>
      <c r="DI539" s="59">
        <v>0</v>
      </c>
      <c r="DJ539" s="59">
        <v>1</v>
      </c>
      <c r="DK539" s="59"/>
      <c r="DL539" s="59"/>
      <c r="DM539" s="59">
        <v>2</v>
      </c>
      <c r="DN539" s="59">
        <v>0</v>
      </c>
      <c r="DO539" s="59">
        <v>0</v>
      </c>
      <c r="DP539" s="59"/>
      <c r="DQ539" s="59"/>
      <c r="DR539" s="59"/>
      <c r="DS539" s="59">
        <v>1</v>
      </c>
      <c r="DT539" s="59">
        <v>0</v>
      </c>
      <c r="DU539" s="59">
        <v>0</v>
      </c>
      <c r="DV539" s="38">
        <f t="shared" si="252"/>
        <v>42</v>
      </c>
      <c r="DW539" s="14" t="str">
        <f t="shared" si="253"/>
        <v/>
      </c>
      <c r="DY539">
        <f t="shared" ref="DY539:DY557" si="255">S539</f>
        <v>42</v>
      </c>
    </row>
    <row r="540" spans="1:129" customFormat="1">
      <c r="A540" s="210">
        <v>38626</v>
      </c>
      <c r="B540" s="211"/>
      <c r="C540" s="61">
        <v>0</v>
      </c>
      <c r="D540" s="59">
        <v>8</v>
      </c>
      <c r="E540" s="59">
        <v>2</v>
      </c>
      <c r="F540" s="59">
        <v>1</v>
      </c>
      <c r="G540" s="59">
        <v>0</v>
      </c>
      <c r="H540" s="59">
        <v>1</v>
      </c>
      <c r="I540" s="59">
        <v>0</v>
      </c>
      <c r="J540" s="59">
        <v>38</v>
      </c>
      <c r="K540" s="59">
        <v>0</v>
      </c>
      <c r="L540" s="59">
        <v>0</v>
      </c>
      <c r="M540" s="59">
        <v>0</v>
      </c>
      <c r="N540" s="59">
        <v>0</v>
      </c>
      <c r="O540" s="59">
        <v>0</v>
      </c>
      <c r="P540" s="59">
        <v>0</v>
      </c>
      <c r="Q540" s="59">
        <v>0</v>
      </c>
      <c r="R540" s="59">
        <v>0</v>
      </c>
      <c r="S540" s="35">
        <f t="shared" si="254"/>
        <v>50</v>
      </c>
      <c r="T540" s="59"/>
      <c r="U540" s="59">
        <v>29</v>
      </c>
      <c r="V540" s="59">
        <v>26</v>
      </c>
      <c r="W540" s="59">
        <v>0</v>
      </c>
      <c r="X540" s="5">
        <v>0</v>
      </c>
      <c r="Y540" s="10"/>
      <c r="Z540" s="61">
        <v>2862592</v>
      </c>
      <c r="AA540" s="59"/>
      <c r="AB540" s="59"/>
      <c r="AC540" s="61">
        <v>1401961</v>
      </c>
      <c r="AD540" s="59"/>
      <c r="AE540" s="35">
        <f t="shared" si="251"/>
        <v>1401961</v>
      </c>
      <c r="AF540" s="10"/>
      <c r="AG540" s="61">
        <v>107</v>
      </c>
      <c r="AH540" s="59">
        <v>69</v>
      </c>
      <c r="AI540" s="59">
        <v>186</v>
      </c>
      <c r="AJ540" s="62"/>
      <c r="AK540" s="10"/>
      <c r="AL540" s="61">
        <v>0</v>
      </c>
      <c r="AM540" s="59">
        <v>57</v>
      </c>
      <c r="AN540" s="35">
        <f>SUM(AL540:AM540)</f>
        <v>57</v>
      </c>
      <c r="AO540" s="279"/>
      <c r="AP540" s="279"/>
      <c r="AQ540" s="281"/>
      <c r="AR540" s="59">
        <v>152</v>
      </c>
      <c r="AS540" s="59">
        <v>56</v>
      </c>
      <c r="AT540" s="59">
        <v>91</v>
      </c>
      <c r="AU540" s="59">
        <v>24</v>
      </c>
      <c r="AV540" s="62">
        <v>203</v>
      </c>
      <c r="AW540" s="10"/>
      <c r="AX540" s="326">
        <v>38624</v>
      </c>
      <c r="AY540" s="5">
        <v>-2</v>
      </c>
      <c r="AZ540" s="10"/>
      <c r="BA540" s="61">
        <v>1808</v>
      </c>
      <c r="BB540" s="59">
        <v>37082080</v>
      </c>
      <c r="BC540" s="59"/>
      <c r="BD540" s="59"/>
      <c r="BE540" s="59">
        <v>78</v>
      </c>
      <c r="BF540" s="59">
        <v>5</v>
      </c>
      <c r="BG540" s="59">
        <v>3</v>
      </c>
      <c r="BH540" s="351"/>
      <c r="BI540" s="59">
        <v>2857437</v>
      </c>
      <c r="BJ540" s="342">
        <v>38635</v>
      </c>
      <c r="BK540" s="342">
        <v>38664</v>
      </c>
      <c r="BL540" s="320">
        <f>BK540-BJ540</f>
        <v>29</v>
      </c>
      <c r="BM540" s="62"/>
      <c r="BN540" s="10"/>
      <c r="BO540" s="8"/>
      <c r="BP540" s="62">
        <v>157</v>
      </c>
      <c r="BQ540" s="10"/>
      <c r="BR540" s="29">
        <v>2006</v>
      </c>
      <c r="BS540" s="64">
        <v>2005</v>
      </c>
      <c r="BT540" s="14">
        <v>19</v>
      </c>
      <c r="BU540" s="10"/>
      <c r="BV540" s="8">
        <v>0</v>
      </c>
      <c r="BW540" s="59">
        <v>18</v>
      </c>
      <c r="BX540" s="59">
        <v>0</v>
      </c>
      <c r="BY540" s="59"/>
      <c r="BZ540" s="59"/>
      <c r="CA540" s="59"/>
      <c r="CB540" s="59"/>
      <c r="CC540" s="221"/>
      <c r="CD540" s="59">
        <v>3</v>
      </c>
      <c r="CE540" s="59">
        <v>0</v>
      </c>
      <c r="CF540" s="59">
        <v>0</v>
      </c>
      <c r="CG540" s="59">
        <v>0</v>
      </c>
      <c r="CH540" s="59"/>
      <c r="CI540" s="59">
        <v>0</v>
      </c>
      <c r="CJ540" s="59">
        <v>12</v>
      </c>
      <c r="CK540" s="59"/>
      <c r="CL540" s="59"/>
      <c r="CM540" s="59">
        <v>0</v>
      </c>
      <c r="CN540" s="59"/>
      <c r="CO540" s="59">
        <v>2</v>
      </c>
      <c r="CP540" s="317"/>
      <c r="CQ540" s="59"/>
      <c r="CR540" s="59"/>
      <c r="CS540" s="59">
        <v>0</v>
      </c>
      <c r="CT540" s="59">
        <v>1</v>
      </c>
      <c r="CU540" s="59">
        <v>0</v>
      </c>
      <c r="CV540" s="59">
        <v>0</v>
      </c>
      <c r="CW540" s="59"/>
      <c r="CX540" s="59"/>
      <c r="CY540" s="59">
        <v>0</v>
      </c>
      <c r="CZ540" s="59"/>
      <c r="DA540" s="59"/>
      <c r="DB540" s="59">
        <v>0</v>
      </c>
      <c r="DC540" s="59"/>
      <c r="DD540" s="59"/>
      <c r="DE540" s="59"/>
      <c r="DF540" s="59"/>
      <c r="DG540" s="59">
        <v>0</v>
      </c>
      <c r="DH540" s="59">
        <v>0</v>
      </c>
      <c r="DI540" s="59">
        <v>0</v>
      </c>
      <c r="DJ540" s="59">
        <v>0</v>
      </c>
      <c r="DK540" s="59"/>
      <c r="DL540" s="59"/>
      <c r="DM540" s="59">
        <v>0</v>
      </c>
      <c r="DN540" s="59">
        <v>0</v>
      </c>
      <c r="DO540" s="59">
        <v>3</v>
      </c>
      <c r="DP540" s="59"/>
      <c r="DQ540" s="59"/>
      <c r="DR540" s="59"/>
      <c r="DS540" s="59">
        <v>10</v>
      </c>
      <c r="DT540" s="59">
        <v>1</v>
      </c>
      <c r="DU540" s="59">
        <v>0</v>
      </c>
      <c r="DV540" s="38">
        <f t="shared" si="252"/>
        <v>50</v>
      </c>
      <c r="DW540" s="14" t="str">
        <f t="shared" si="253"/>
        <v/>
      </c>
      <c r="DY540">
        <f t="shared" si="255"/>
        <v>50</v>
      </c>
    </row>
    <row r="541" spans="1:129" customFormat="1">
      <c r="A541" s="210">
        <v>38640</v>
      </c>
      <c r="B541" s="211"/>
      <c r="C541" s="61">
        <v>1</v>
      </c>
      <c r="D541" s="59">
        <v>13</v>
      </c>
      <c r="E541" s="59">
        <v>2</v>
      </c>
      <c r="F541" s="59">
        <v>1</v>
      </c>
      <c r="G541" s="59">
        <v>3</v>
      </c>
      <c r="H541" s="59">
        <v>0</v>
      </c>
      <c r="I541" s="59">
        <v>0</v>
      </c>
      <c r="J541" s="59">
        <v>6</v>
      </c>
      <c r="K541" s="59">
        <v>0</v>
      </c>
      <c r="L541" s="59">
        <v>0</v>
      </c>
      <c r="M541" s="59">
        <v>0</v>
      </c>
      <c r="N541" s="59">
        <v>0</v>
      </c>
      <c r="O541" s="59">
        <v>5</v>
      </c>
      <c r="P541" s="59">
        <v>0</v>
      </c>
      <c r="Q541" s="59">
        <v>0</v>
      </c>
      <c r="R541" s="59">
        <v>0</v>
      </c>
      <c r="S541" s="35">
        <f t="shared" si="254"/>
        <v>31</v>
      </c>
      <c r="T541" s="59"/>
      <c r="U541" s="59">
        <v>13</v>
      </c>
      <c r="V541" s="59">
        <v>7</v>
      </c>
      <c r="W541" s="59">
        <v>0</v>
      </c>
      <c r="X541" s="5">
        <v>0</v>
      </c>
      <c r="Y541" s="10"/>
      <c r="Z541" s="61">
        <v>2634240</v>
      </c>
      <c r="AA541" s="59"/>
      <c r="AB541" s="59"/>
      <c r="AC541" s="61">
        <v>456160</v>
      </c>
      <c r="AD541" s="59"/>
      <c r="AE541" s="35">
        <f t="shared" si="251"/>
        <v>456160</v>
      </c>
      <c r="AF541" s="10"/>
      <c r="AG541" s="61">
        <v>63</v>
      </c>
      <c r="AH541" s="59">
        <v>71</v>
      </c>
      <c r="AI541" s="59">
        <v>144</v>
      </c>
      <c r="AJ541" s="62"/>
      <c r="AK541" s="10"/>
      <c r="AL541" s="8"/>
      <c r="AM541" s="10"/>
      <c r="AN541" s="35"/>
      <c r="AO541" s="279"/>
      <c r="AP541" s="279"/>
      <c r="AQ541" s="281"/>
      <c r="AR541" s="59">
        <v>152</v>
      </c>
      <c r="AS541" s="59"/>
      <c r="AT541" s="59"/>
      <c r="AU541" s="59"/>
      <c r="AV541" s="62"/>
      <c r="AW541" s="10"/>
      <c r="AX541" s="326">
        <v>38639</v>
      </c>
      <c r="AY541" s="5">
        <v>-1</v>
      </c>
      <c r="AZ541" s="10"/>
      <c r="BA541" s="61"/>
      <c r="BB541" s="59"/>
      <c r="BC541" s="59"/>
      <c r="BD541" s="59"/>
      <c r="BE541" s="59"/>
      <c r="BF541" s="59"/>
      <c r="BG541" s="59"/>
      <c r="BH541" s="351"/>
      <c r="BI541" s="59"/>
      <c r="BJ541" s="342"/>
      <c r="BK541" s="335"/>
      <c r="BL541" s="320"/>
      <c r="BM541" s="62"/>
      <c r="BN541" s="10"/>
      <c r="BO541" s="8"/>
      <c r="BP541" s="62"/>
      <c r="BQ541" s="10"/>
      <c r="BR541" s="29">
        <v>2006</v>
      </c>
      <c r="BS541" s="64">
        <v>2005</v>
      </c>
      <c r="BT541" s="14">
        <v>20</v>
      </c>
      <c r="BU541" s="10"/>
      <c r="BV541" s="8">
        <v>5</v>
      </c>
      <c r="BW541" s="59">
        <v>1</v>
      </c>
      <c r="BX541" s="59">
        <v>0</v>
      </c>
      <c r="BY541" s="59"/>
      <c r="BZ541" s="59"/>
      <c r="CA541" s="59"/>
      <c r="CB541" s="59"/>
      <c r="CC541" s="221"/>
      <c r="CD541" s="59">
        <v>2</v>
      </c>
      <c r="CE541" s="59">
        <v>0</v>
      </c>
      <c r="CF541" s="59">
        <v>0</v>
      </c>
      <c r="CG541" s="59">
        <v>0</v>
      </c>
      <c r="CH541" s="59"/>
      <c r="CI541" s="59">
        <v>0</v>
      </c>
      <c r="CJ541" s="59">
        <v>2</v>
      </c>
      <c r="CK541" s="59"/>
      <c r="CL541" s="59"/>
      <c r="CM541" s="59">
        <v>0</v>
      </c>
      <c r="CN541" s="59"/>
      <c r="CO541" s="59">
        <v>5</v>
      </c>
      <c r="CP541" s="317"/>
      <c r="CQ541" s="59"/>
      <c r="CR541" s="59"/>
      <c r="CS541" s="59">
        <v>0</v>
      </c>
      <c r="CT541" s="59">
        <v>3</v>
      </c>
      <c r="CU541" s="59">
        <v>0</v>
      </c>
      <c r="CV541" s="59">
        <v>4</v>
      </c>
      <c r="CW541" s="59"/>
      <c r="CX541" s="59"/>
      <c r="CY541" s="59">
        <v>4</v>
      </c>
      <c r="CZ541" s="59"/>
      <c r="DA541" s="59"/>
      <c r="DB541" s="59">
        <v>1</v>
      </c>
      <c r="DC541" s="59"/>
      <c r="DD541" s="59"/>
      <c r="DE541" s="59"/>
      <c r="DF541" s="59"/>
      <c r="DG541" s="59">
        <v>1</v>
      </c>
      <c r="DH541" s="59">
        <v>0</v>
      </c>
      <c r="DI541" s="59">
        <v>1</v>
      </c>
      <c r="DJ541" s="59">
        <v>0</v>
      </c>
      <c r="DK541" s="59"/>
      <c r="DL541" s="59"/>
      <c r="DM541" s="59">
        <v>1</v>
      </c>
      <c r="DN541" s="59">
        <v>0</v>
      </c>
      <c r="DO541" s="59">
        <v>0</v>
      </c>
      <c r="DP541" s="59"/>
      <c r="DQ541" s="59"/>
      <c r="DR541" s="59"/>
      <c r="DS541" s="59">
        <v>0</v>
      </c>
      <c r="DT541" s="59">
        <v>1</v>
      </c>
      <c r="DU541" s="59">
        <v>0</v>
      </c>
      <c r="DV541" s="38">
        <f t="shared" si="252"/>
        <v>31</v>
      </c>
      <c r="DW541" s="14" t="str">
        <f t="shared" si="253"/>
        <v/>
      </c>
      <c r="DY541">
        <f t="shared" si="255"/>
        <v>31</v>
      </c>
    </row>
    <row r="542" spans="1:129" customFormat="1">
      <c r="A542" s="210">
        <v>38657</v>
      </c>
      <c r="B542" s="211"/>
      <c r="C542" s="61">
        <v>3</v>
      </c>
      <c r="D542" s="59">
        <v>5</v>
      </c>
      <c r="E542" s="59">
        <v>0</v>
      </c>
      <c r="F542" s="59">
        <v>0</v>
      </c>
      <c r="G542" s="59">
        <v>4</v>
      </c>
      <c r="H542" s="59">
        <v>0</v>
      </c>
      <c r="I542" s="59">
        <v>0</v>
      </c>
      <c r="J542" s="59">
        <v>7</v>
      </c>
      <c r="K542" s="59">
        <v>2</v>
      </c>
      <c r="L542" s="59">
        <v>0</v>
      </c>
      <c r="M542" s="59">
        <v>0</v>
      </c>
      <c r="N542" s="59">
        <v>0</v>
      </c>
      <c r="O542" s="59">
        <v>2</v>
      </c>
      <c r="P542" s="59">
        <v>1</v>
      </c>
      <c r="Q542" s="59">
        <v>0</v>
      </c>
      <c r="R542" s="59">
        <v>1</v>
      </c>
      <c r="S542" s="35">
        <f t="shared" si="254"/>
        <v>25</v>
      </c>
      <c r="T542" s="59"/>
      <c r="U542" s="59">
        <v>7</v>
      </c>
      <c r="V542" s="59">
        <v>6</v>
      </c>
      <c r="W542" s="59">
        <v>0</v>
      </c>
      <c r="X542" s="5">
        <v>0</v>
      </c>
      <c r="Y542" s="10"/>
      <c r="Z542" s="61">
        <v>2984960</v>
      </c>
      <c r="AA542" s="59"/>
      <c r="AB542" s="59"/>
      <c r="AC542" s="61">
        <v>823545</v>
      </c>
      <c r="AD542" s="59"/>
      <c r="AE542" s="35">
        <f t="shared" si="251"/>
        <v>823545</v>
      </c>
      <c r="AF542" s="10"/>
      <c r="AG542" s="61">
        <v>78</v>
      </c>
      <c r="AH542" s="59">
        <v>77</v>
      </c>
      <c r="AI542" s="59">
        <v>170</v>
      </c>
      <c r="AJ542" s="62"/>
      <c r="AK542" s="10"/>
      <c r="AL542" s="8"/>
      <c r="AM542" s="10"/>
      <c r="AN542" s="35"/>
      <c r="AO542" s="279"/>
      <c r="AP542" s="279"/>
      <c r="AQ542" s="281"/>
      <c r="AR542" s="59">
        <v>151</v>
      </c>
      <c r="AS542" s="59">
        <v>56</v>
      </c>
      <c r="AT542" s="59">
        <v>91</v>
      </c>
      <c r="AU542" s="59">
        <v>23</v>
      </c>
      <c r="AV542" s="62">
        <v>201</v>
      </c>
      <c r="AW542" s="10"/>
      <c r="AX542" s="326">
        <v>38650</v>
      </c>
      <c r="AY542" s="5">
        <v>-7</v>
      </c>
      <c r="AZ542" s="10"/>
      <c r="BA542" s="61">
        <v>1813</v>
      </c>
      <c r="BB542" s="6">
        <v>37924594</v>
      </c>
      <c r="BC542" s="59"/>
      <c r="BD542" s="59"/>
      <c r="BE542" s="59">
        <v>46</v>
      </c>
      <c r="BF542" s="59">
        <v>9</v>
      </c>
      <c r="BG542" s="59">
        <v>4</v>
      </c>
      <c r="BH542" s="351"/>
      <c r="BI542" s="59">
        <v>2619037</v>
      </c>
      <c r="BJ542" s="342">
        <v>38666</v>
      </c>
      <c r="BK542" s="342">
        <v>38666</v>
      </c>
      <c r="BL542" s="320">
        <f>BK542-BJ542</f>
        <v>0</v>
      </c>
      <c r="BM542" s="62"/>
      <c r="BN542" s="10"/>
      <c r="BO542" s="8"/>
      <c r="BP542" s="62">
        <v>157</v>
      </c>
      <c r="BQ542" s="10"/>
      <c r="BR542" s="29">
        <v>2006</v>
      </c>
      <c r="BS542" s="64">
        <v>2005</v>
      </c>
      <c r="BT542" s="14">
        <v>21</v>
      </c>
      <c r="BU542" s="10"/>
      <c r="BV542" s="8">
        <v>2</v>
      </c>
      <c r="BW542" s="59">
        <v>1</v>
      </c>
      <c r="BX542" s="59">
        <v>0</v>
      </c>
      <c r="BY542" s="59"/>
      <c r="BZ542" s="59"/>
      <c r="CA542" s="59"/>
      <c r="CB542" s="59"/>
      <c r="CC542" s="221"/>
      <c r="CD542" s="59">
        <v>5</v>
      </c>
      <c r="CE542" s="59">
        <v>0</v>
      </c>
      <c r="CF542" s="59">
        <v>0</v>
      </c>
      <c r="CG542" s="59">
        <v>0</v>
      </c>
      <c r="CH542" s="59"/>
      <c r="CI542" s="59">
        <v>1</v>
      </c>
      <c r="CJ542" s="59">
        <v>1</v>
      </c>
      <c r="CK542" s="59"/>
      <c r="CL542" s="59"/>
      <c r="CM542" s="59">
        <v>0</v>
      </c>
      <c r="CN542" s="59"/>
      <c r="CO542" s="59">
        <v>0</v>
      </c>
      <c r="CP542" s="317"/>
      <c r="CQ542" s="59"/>
      <c r="CR542" s="59"/>
      <c r="CS542" s="59">
        <v>0</v>
      </c>
      <c r="CT542" s="59">
        <v>0</v>
      </c>
      <c r="CU542" s="59">
        <v>0</v>
      </c>
      <c r="CV542" s="59">
        <v>3</v>
      </c>
      <c r="CW542" s="59"/>
      <c r="CX542" s="59"/>
      <c r="CY542" s="59">
        <v>1</v>
      </c>
      <c r="CZ542" s="59"/>
      <c r="DA542" s="59"/>
      <c r="DB542" s="59">
        <v>2</v>
      </c>
      <c r="DC542" s="59"/>
      <c r="DD542" s="59"/>
      <c r="DE542" s="59"/>
      <c r="DF542" s="59"/>
      <c r="DG542" s="59">
        <v>1</v>
      </c>
      <c r="DH542" s="59">
        <v>0</v>
      </c>
      <c r="DI542" s="59">
        <v>0</v>
      </c>
      <c r="DJ542" s="59">
        <v>0</v>
      </c>
      <c r="DK542" s="59"/>
      <c r="DL542" s="59"/>
      <c r="DM542" s="59">
        <v>1</v>
      </c>
      <c r="DN542" s="59">
        <v>0</v>
      </c>
      <c r="DO542" s="59">
        <v>2</v>
      </c>
      <c r="DP542" s="59"/>
      <c r="DQ542" s="59"/>
      <c r="DR542" s="59"/>
      <c r="DS542" s="59">
        <v>2</v>
      </c>
      <c r="DT542" s="59">
        <v>2</v>
      </c>
      <c r="DU542" s="59">
        <v>1</v>
      </c>
      <c r="DV542" s="38">
        <f t="shared" si="252"/>
        <v>25</v>
      </c>
      <c r="DW542" s="14" t="str">
        <f t="shared" si="253"/>
        <v/>
      </c>
      <c r="DY542">
        <f t="shared" si="255"/>
        <v>25</v>
      </c>
    </row>
    <row r="543" spans="1:129" customFormat="1">
      <c r="A543" s="210">
        <v>38671</v>
      </c>
      <c r="B543" s="211"/>
      <c r="C543" s="61">
        <v>1</v>
      </c>
      <c r="D543" s="59">
        <v>14</v>
      </c>
      <c r="E543" s="59">
        <v>2</v>
      </c>
      <c r="F543" s="59">
        <v>0</v>
      </c>
      <c r="G543" s="59">
        <v>1</v>
      </c>
      <c r="H543" s="59">
        <v>0</v>
      </c>
      <c r="I543" s="59">
        <v>0</v>
      </c>
      <c r="J543" s="59">
        <v>5</v>
      </c>
      <c r="K543" s="59">
        <v>0</v>
      </c>
      <c r="L543" s="59">
        <v>0</v>
      </c>
      <c r="M543" s="59">
        <v>0</v>
      </c>
      <c r="N543" s="59">
        <v>0</v>
      </c>
      <c r="O543" s="59">
        <v>2</v>
      </c>
      <c r="P543" s="59">
        <v>1</v>
      </c>
      <c r="Q543" s="59">
        <v>0</v>
      </c>
      <c r="R543" s="59">
        <v>0</v>
      </c>
      <c r="S543" s="35">
        <f t="shared" si="254"/>
        <v>26</v>
      </c>
      <c r="T543" s="59"/>
      <c r="U543" s="59">
        <v>8</v>
      </c>
      <c r="V543" s="59">
        <v>8</v>
      </c>
      <c r="W543" s="59">
        <v>0</v>
      </c>
      <c r="X543" s="5">
        <v>0</v>
      </c>
      <c r="Y543" s="10"/>
      <c r="Z543" s="61">
        <v>2851840</v>
      </c>
      <c r="AA543" s="59"/>
      <c r="AB543" s="59"/>
      <c r="AC543" s="61">
        <v>480575</v>
      </c>
      <c r="AD543" s="59"/>
      <c r="AE543" s="35">
        <f t="shared" si="251"/>
        <v>480575</v>
      </c>
      <c r="AF543" s="10"/>
      <c r="AG543" s="61">
        <v>46</v>
      </c>
      <c r="AH543" s="59">
        <v>82</v>
      </c>
      <c r="AI543" s="59">
        <v>142</v>
      </c>
      <c r="AJ543" s="62"/>
      <c r="AK543" s="10"/>
      <c r="AL543" s="8"/>
      <c r="AM543" s="10"/>
      <c r="AN543" s="35"/>
      <c r="AO543" s="279"/>
      <c r="AP543" s="279"/>
      <c r="AQ543" s="281"/>
      <c r="AR543" s="59">
        <v>150</v>
      </c>
      <c r="AS543" s="59">
        <v>54</v>
      </c>
      <c r="AT543" s="59">
        <v>91</v>
      </c>
      <c r="AU543" s="59">
        <v>23</v>
      </c>
      <c r="AV543" s="62">
        <v>197</v>
      </c>
      <c r="AW543" s="10"/>
      <c r="AX543" s="326">
        <v>38670</v>
      </c>
      <c r="AY543" s="5">
        <v>-1</v>
      </c>
      <c r="AZ543" s="10"/>
      <c r="BA543" s="61"/>
      <c r="BB543" s="59"/>
      <c r="BC543" s="59"/>
      <c r="BD543" s="59"/>
      <c r="BE543" s="59"/>
      <c r="BF543" s="59"/>
      <c r="BG543" s="59"/>
      <c r="BH543" s="351"/>
      <c r="BI543" s="102"/>
      <c r="BJ543" s="344"/>
      <c r="BK543" s="335"/>
      <c r="BL543" s="321"/>
      <c r="BM543" s="62"/>
      <c r="BN543" s="10"/>
      <c r="BO543" s="8"/>
      <c r="BP543" s="62"/>
      <c r="BQ543" s="10"/>
      <c r="BR543" s="29">
        <v>2006</v>
      </c>
      <c r="BS543" s="64">
        <v>2005</v>
      </c>
      <c r="BT543" s="14">
        <v>22</v>
      </c>
      <c r="BU543" s="10"/>
      <c r="BV543" s="8">
        <v>0</v>
      </c>
      <c r="BW543" s="59">
        <v>1</v>
      </c>
      <c r="BX543" s="59">
        <v>0</v>
      </c>
      <c r="BY543" s="59"/>
      <c r="BZ543" s="59"/>
      <c r="CA543" s="59"/>
      <c r="CB543" s="59"/>
      <c r="CC543" s="221"/>
      <c r="CD543" s="59">
        <v>3</v>
      </c>
      <c r="CE543" s="59">
        <v>0</v>
      </c>
      <c r="CF543" s="59">
        <v>1</v>
      </c>
      <c r="CG543" s="59">
        <v>0</v>
      </c>
      <c r="CH543" s="59"/>
      <c r="CI543" s="59">
        <v>1</v>
      </c>
      <c r="CJ543" s="59">
        <v>3</v>
      </c>
      <c r="CK543" s="59"/>
      <c r="CL543" s="59"/>
      <c r="CM543" s="59">
        <v>0</v>
      </c>
      <c r="CN543" s="59"/>
      <c r="CO543" s="59">
        <v>5</v>
      </c>
      <c r="CP543" s="317"/>
      <c r="CQ543" s="59"/>
      <c r="CR543" s="59"/>
      <c r="CS543" s="59">
        <v>1</v>
      </c>
      <c r="CT543" s="59">
        <v>1</v>
      </c>
      <c r="CU543" s="59">
        <v>0</v>
      </c>
      <c r="CV543" s="59">
        <v>0</v>
      </c>
      <c r="CW543" s="59"/>
      <c r="CX543" s="59"/>
      <c r="CY543" s="59">
        <v>3</v>
      </c>
      <c r="CZ543" s="59"/>
      <c r="DA543" s="59"/>
      <c r="DB543" s="59">
        <v>2</v>
      </c>
      <c r="DC543" s="59"/>
      <c r="DD543" s="59"/>
      <c r="DE543" s="59"/>
      <c r="DF543" s="59"/>
      <c r="DG543" s="59">
        <v>1</v>
      </c>
      <c r="DH543" s="59">
        <v>2</v>
      </c>
      <c r="DI543" s="59">
        <v>0</v>
      </c>
      <c r="DJ543" s="59">
        <v>0</v>
      </c>
      <c r="DK543" s="59"/>
      <c r="DL543" s="59"/>
      <c r="DM543" s="59">
        <v>0</v>
      </c>
      <c r="DN543" s="59">
        <v>0</v>
      </c>
      <c r="DO543" s="59">
        <v>0</v>
      </c>
      <c r="DP543" s="59"/>
      <c r="DQ543" s="59"/>
      <c r="DR543" s="59"/>
      <c r="DS543" s="59">
        <v>0</v>
      </c>
      <c r="DT543" s="59">
        <v>2</v>
      </c>
      <c r="DU543" s="59">
        <v>0</v>
      </c>
      <c r="DV543" s="38">
        <f t="shared" si="252"/>
        <v>26</v>
      </c>
      <c r="DW543" s="14" t="str">
        <f t="shared" si="253"/>
        <v/>
      </c>
      <c r="DY543">
        <f t="shared" si="255"/>
        <v>26</v>
      </c>
    </row>
    <row r="544" spans="1:129" customFormat="1">
      <c r="A544" s="210">
        <v>38687</v>
      </c>
      <c r="B544" s="211"/>
      <c r="C544" s="61">
        <v>1</v>
      </c>
      <c r="D544" s="59">
        <v>16</v>
      </c>
      <c r="E544" s="59">
        <v>2</v>
      </c>
      <c r="F544" s="59">
        <v>3</v>
      </c>
      <c r="G544" s="59">
        <v>0</v>
      </c>
      <c r="H544" s="59">
        <v>0</v>
      </c>
      <c r="I544" s="59">
        <v>0</v>
      </c>
      <c r="J544" s="59">
        <v>10</v>
      </c>
      <c r="K544" s="59">
        <v>0</v>
      </c>
      <c r="L544" s="59">
        <v>0</v>
      </c>
      <c r="M544" s="59">
        <v>0</v>
      </c>
      <c r="N544" s="59">
        <v>0</v>
      </c>
      <c r="O544" s="59">
        <v>9</v>
      </c>
      <c r="P544" s="59">
        <v>0</v>
      </c>
      <c r="Q544" s="59">
        <v>0</v>
      </c>
      <c r="R544" s="59">
        <v>0</v>
      </c>
      <c r="S544" s="35">
        <f t="shared" si="254"/>
        <v>41</v>
      </c>
      <c r="T544" s="59"/>
      <c r="U544" s="59">
        <v>12</v>
      </c>
      <c r="V544" s="59">
        <v>12</v>
      </c>
      <c r="W544" s="59">
        <v>0</v>
      </c>
      <c r="X544" s="5">
        <v>1</v>
      </c>
      <c r="Y544" s="10"/>
      <c r="Z544" s="61">
        <v>3104256</v>
      </c>
      <c r="AA544" s="59"/>
      <c r="AB544" s="59"/>
      <c r="AC544" s="61">
        <v>929645</v>
      </c>
      <c r="AD544" s="59"/>
      <c r="AE544" s="35">
        <f t="shared" si="251"/>
        <v>929645</v>
      </c>
      <c r="AF544" s="10"/>
      <c r="AG544" s="61">
        <v>65</v>
      </c>
      <c r="AH544" s="59">
        <v>84</v>
      </c>
      <c r="AI544" s="59">
        <v>162</v>
      </c>
      <c r="AJ544" s="62"/>
      <c r="AK544" s="10"/>
      <c r="AL544" s="8"/>
      <c r="AM544" s="10"/>
      <c r="AN544" s="35"/>
      <c r="AO544" s="279"/>
      <c r="AP544" s="279"/>
      <c r="AQ544" s="281"/>
      <c r="AR544" s="59">
        <v>150</v>
      </c>
      <c r="AS544" s="59"/>
      <c r="AT544" s="59"/>
      <c r="AU544" s="59"/>
      <c r="AV544" s="62"/>
      <c r="AW544" s="10"/>
      <c r="AX544" s="326">
        <v>38685</v>
      </c>
      <c r="AY544" s="5">
        <v>-2</v>
      </c>
      <c r="AZ544" s="10"/>
      <c r="BA544" s="61">
        <v>1813</v>
      </c>
      <c r="BB544" s="59">
        <v>38245115</v>
      </c>
      <c r="BC544" s="59"/>
      <c r="BD544" s="59"/>
      <c r="BE544" s="59">
        <v>34</v>
      </c>
      <c r="BF544" s="59">
        <v>3</v>
      </c>
      <c r="BG544" s="59">
        <v>3</v>
      </c>
      <c r="BH544" s="351"/>
      <c r="BI544" s="59">
        <v>1257555</v>
      </c>
      <c r="BJ544" s="342">
        <v>38696</v>
      </c>
      <c r="BK544" s="342">
        <v>38694</v>
      </c>
      <c r="BL544" s="320">
        <f>BK544-BJ544</f>
        <v>-2</v>
      </c>
      <c r="BM544" s="62"/>
      <c r="BN544" s="10"/>
      <c r="BO544" s="8"/>
      <c r="BP544" s="62">
        <v>157</v>
      </c>
      <c r="BQ544" s="10"/>
      <c r="BR544" s="29">
        <v>2006</v>
      </c>
      <c r="BS544" s="64">
        <v>2005</v>
      </c>
      <c r="BT544" s="14">
        <v>23</v>
      </c>
      <c r="BU544" s="10"/>
      <c r="BV544" s="8">
        <v>0</v>
      </c>
      <c r="BW544" s="59">
        <v>2</v>
      </c>
      <c r="BX544" s="59">
        <v>0</v>
      </c>
      <c r="BY544" s="59"/>
      <c r="BZ544" s="59"/>
      <c r="CA544" s="59"/>
      <c r="CB544" s="59"/>
      <c r="CC544" s="221"/>
      <c r="CD544" s="59">
        <v>3</v>
      </c>
      <c r="CE544" s="59">
        <v>0</v>
      </c>
      <c r="CF544" s="59">
        <v>8</v>
      </c>
      <c r="CG544" s="59">
        <v>0</v>
      </c>
      <c r="CH544" s="59"/>
      <c r="CI544" s="59">
        <v>0</v>
      </c>
      <c r="CJ544" s="59">
        <v>9</v>
      </c>
      <c r="CK544" s="59"/>
      <c r="CL544" s="59"/>
      <c r="CM544" s="59">
        <v>0</v>
      </c>
      <c r="CN544" s="59"/>
      <c r="CO544" s="59">
        <v>5</v>
      </c>
      <c r="CP544" s="317"/>
      <c r="CQ544" s="59"/>
      <c r="CR544" s="59"/>
      <c r="CS544" s="59">
        <v>0</v>
      </c>
      <c r="CT544" s="59">
        <v>1</v>
      </c>
      <c r="CU544" s="59">
        <v>0</v>
      </c>
      <c r="CV544" s="59">
        <v>1</v>
      </c>
      <c r="CW544" s="59"/>
      <c r="CX544" s="59"/>
      <c r="CY544" s="59">
        <v>0</v>
      </c>
      <c r="CZ544" s="59"/>
      <c r="DA544" s="59"/>
      <c r="DB544" s="59">
        <v>6</v>
      </c>
      <c r="DC544" s="59"/>
      <c r="DD544" s="59"/>
      <c r="DE544" s="59"/>
      <c r="DF544" s="59"/>
      <c r="DG544" s="59">
        <v>1</v>
      </c>
      <c r="DH544" s="59">
        <v>0</v>
      </c>
      <c r="DI544" s="59">
        <v>0</v>
      </c>
      <c r="DJ544" s="59">
        <v>0</v>
      </c>
      <c r="DK544" s="59"/>
      <c r="DL544" s="59"/>
      <c r="DM544" s="59">
        <v>0</v>
      </c>
      <c r="DN544" s="59">
        <v>0</v>
      </c>
      <c r="DO544" s="59">
        <v>1</v>
      </c>
      <c r="DP544" s="59"/>
      <c r="DQ544" s="59"/>
      <c r="DR544" s="59"/>
      <c r="DS544" s="59">
        <v>0</v>
      </c>
      <c r="DT544" s="59">
        <v>4</v>
      </c>
      <c r="DU544" s="59">
        <v>0</v>
      </c>
      <c r="DV544" s="38">
        <f t="shared" si="252"/>
        <v>41</v>
      </c>
      <c r="DW544" s="14" t="str">
        <f t="shared" si="253"/>
        <v/>
      </c>
      <c r="DY544">
        <f t="shared" si="255"/>
        <v>41</v>
      </c>
    </row>
    <row r="545" spans="1:130" customFormat="1">
      <c r="A545" s="210">
        <v>38701</v>
      </c>
      <c r="B545" s="211"/>
      <c r="C545" s="61">
        <v>0</v>
      </c>
      <c r="D545" s="59">
        <v>10</v>
      </c>
      <c r="E545" s="59">
        <v>0</v>
      </c>
      <c r="F545" s="59">
        <v>0</v>
      </c>
      <c r="G545" s="59">
        <v>7</v>
      </c>
      <c r="H545" s="59">
        <v>0</v>
      </c>
      <c r="I545" s="59">
        <v>0</v>
      </c>
      <c r="J545" s="59">
        <v>11</v>
      </c>
      <c r="K545" s="59">
        <v>0</v>
      </c>
      <c r="L545" s="59">
        <v>0</v>
      </c>
      <c r="M545" s="59">
        <v>0</v>
      </c>
      <c r="N545" s="59">
        <v>0</v>
      </c>
      <c r="O545" s="59">
        <v>12</v>
      </c>
      <c r="P545" s="59">
        <v>0</v>
      </c>
      <c r="Q545" s="59">
        <v>0</v>
      </c>
      <c r="R545" s="59">
        <v>0</v>
      </c>
      <c r="S545" s="35">
        <f t="shared" si="254"/>
        <v>40</v>
      </c>
      <c r="T545" s="59"/>
      <c r="U545" s="59">
        <v>21</v>
      </c>
      <c r="V545" s="59">
        <v>14</v>
      </c>
      <c r="W545" s="59">
        <v>0</v>
      </c>
      <c r="X545" s="5">
        <v>0</v>
      </c>
      <c r="Y545" s="59"/>
      <c r="Z545" s="61">
        <v>3045888</v>
      </c>
      <c r="AA545" s="59"/>
      <c r="AB545" s="59"/>
      <c r="AC545" s="61">
        <v>847455</v>
      </c>
      <c r="AD545" s="59"/>
      <c r="AE545" s="35">
        <f t="shared" si="251"/>
        <v>847455</v>
      </c>
      <c r="AF545" s="10"/>
      <c r="AG545" s="61">
        <v>57</v>
      </c>
      <c r="AH545" s="59">
        <v>86</v>
      </c>
      <c r="AI545" s="59">
        <v>150</v>
      </c>
      <c r="AJ545" s="62"/>
      <c r="AK545" s="10"/>
      <c r="AL545" s="8"/>
      <c r="AM545" s="10"/>
      <c r="AN545" s="35"/>
      <c r="AO545" s="279"/>
      <c r="AP545" s="279"/>
      <c r="AQ545" s="281"/>
      <c r="AR545" s="59">
        <v>149</v>
      </c>
      <c r="AS545" s="59"/>
      <c r="AT545" s="59"/>
      <c r="AU545" s="59"/>
      <c r="AV545" s="62"/>
      <c r="AW545" s="10"/>
      <c r="AX545" s="326">
        <v>38699</v>
      </c>
      <c r="AY545" s="5">
        <v>-2</v>
      </c>
      <c r="AZ545" s="10"/>
      <c r="BA545" s="61"/>
      <c r="BB545" s="59"/>
      <c r="BC545" s="59"/>
      <c r="BD545" s="59"/>
      <c r="BE545" s="59"/>
      <c r="BF545" s="59"/>
      <c r="BG545" s="59"/>
      <c r="BH545" s="351"/>
      <c r="BI545" s="59"/>
      <c r="BJ545" s="342"/>
      <c r="BK545" s="335"/>
      <c r="BL545" s="320"/>
      <c r="BM545" s="62"/>
      <c r="BN545" s="10"/>
      <c r="BO545" s="8"/>
      <c r="BP545" s="62"/>
      <c r="BQ545" s="10"/>
      <c r="BR545" s="29">
        <v>2006</v>
      </c>
      <c r="BS545" s="64">
        <v>2005</v>
      </c>
      <c r="BT545" s="14">
        <v>24</v>
      </c>
      <c r="BU545" s="10"/>
      <c r="BV545" s="8">
        <v>2</v>
      </c>
      <c r="BW545" s="59">
        <v>0</v>
      </c>
      <c r="BX545" s="59">
        <v>0</v>
      </c>
      <c r="BY545" s="59"/>
      <c r="BZ545" s="59"/>
      <c r="CA545" s="59"/>
      <c r="CB545" s="59"/>
      <c r="CC545" s="221"/>
      <c r="CD545" s="59">
        <v>1</v>
      </c>
      <c r="CE545" s="59">
        <v>0</v>
      </c>
      <c r="CF545" s="59">
        <v>10</v>
      </c>
      <c r="CG545" s="59">
        <v>0</v>
      </c>
      <c r="CH545" s="59"/>
      <c r="CI545" s="59">
        <v>4</v>
      </c>
      <c r="CJ545" s="59">
        <v>2</v>
      </c>
      <c r="CK545" s="59"/>
      <c r="CL545" s="59"/>
      <c r="CM545" s="59">
        <v>0</v>
      </c>
      <c r="CN545" s="59"/>
      <c r="CO545" s="59">
        <v>7</v>
      </c>
      <c r="CP545" s="317"/>
      <c r="CQ545" s="59"/>
      <c r="CR545" s="59"/>
      <c r="CS545" s="59">
        <v>0</v>
      </c>
      <c r="CT545" s="59">
        <v>1</v>
      </c>
      <c r="CU545" s="59">
        <v>0</v>
      </c>
      <c r="CV545" s="59">
        <v>2</v>
      </c>
      <c r="CW545" s="59"/>
      <c r="CX545" s="59"/>
      <c r="CY545" s="59">
        <v>0</v>
      </c>
      <c r="CZ545" s="59"/>
      <c r="DA545" s="59"/>
      <c r="DB545" s="59">
        <v>9</v>
      </c>
      <c r="DC545" s="59"/>
      <c r="DD545" s="59"/>
      <c r="DE545" s="59"/>
      <c r="DF545" s="59"/>
      <c r="DG545" s="59">
        <v>0</v>
      </c>
      <c r="DH545" s="59">
        <v>1</v>
      </c>
      <c r="DI545" s="59">
        <v>0</v>
      </c>
      <c r="DJ545" s="59">
        <v>0</v>
      </c>
      <c r="DK545" s="59"/>
      <c r="DL545" s="59"/>
      <c r="DM545" s="59">
        <v>0</v>
      </c>
      <c r="DN545" s="59">
        <v>0</v>
      </c>
      <c r="DO545" s="59">
        <v>1</v>
      </c>
      <c r="DP545" s="59"/>
      <c r="DQ545" s="59"/>
      <c r="DR545" s="59"/>
      <c r="DS545" s="59">
        <v>0</v>
      </c>
      <c r="DT545" s="59">
        <v>0</v>
      </c>
      <c r="DU545" s="59">
        <v>0</v>
      </c>
      <c r="DV545" s="38">
        <f t="shared" si="252"/>
        <v>40</v>
      </c>
      <c r="DW545" s="14" t="str">
        <f t="shared" si="253"/>
        <v/>
      </c>
      <c r="DY545">
        <f t="shared" si="255"/>
        <v>40</v>
      </c>
      <c r="DZ545" t="str">
        <f t="shared" ref="DZ545:DZ558" si="256">IF(DV545-DY545=0,"",DV545-DY545)</f>
        <v/>
      </c>
    </row>
    <row r="546" spans="1:130" customFormat="1">
      <c r="A546" s="210">
        <v>38718</v>
      </c>
      <c r="B546" s="211"/>
      <c r="C546" s="8">
        <v>2</v>
      </c>
      <c r="D546" s="59">
        <v>11</v>
      </c>
      <c r="E546" s="59">
        <v>0</v>
      </c>
      <c r="F546" s="59">
        <v>1</v>
      </c>
      <c r="G546" s="59">
        <v>0</v>
      </c>
      <c r="H546" s="59">
        <v>0</v>
      </c>
      <c r="I546" s="59">
        <v>0</v>
      </c>
      <c r="J546" s="59">
        <v>8</v>
      </c>
      <c r="K546" s="59">
        <v>0</v>
      </c>
      <c r="L546" s="59">
        <v>0</v>
      </c>
      <c r="M546" s="59">
        <v>0</v>
      </c>
      <c r="N546" s="59">
        <v>0</v>
      </c>
      <c r="O546" s="59">
        <v>11</v>
      </c>
      <c r="P546" s="59">
        <v>1</v>
      </c>
      <c r="Q546" s="59">
        <v>0</v>
      </c>
      <c r="R546" s="59">
        <v>1</v>
      </c>
      <c r="S546" s="35">
        <f t="shared" si="254"/>
        <v>35</v>
      </c>
      <c r="T546" s="59"/>
      <c r="U546" s="59">
        <v>18</v>
      </c>
      <c r="V546" s="59">
        <v>17</v>
      </c>
      <c r="W546" s="59">
        <v>0</v>
      </c>
      <c r="X546" s="62">
        <v>0</v>
      </c>
      <c r="Y546" s="10"/>
      <c r="Z546" s="61">
        <v>1030656</v>
      </c>
      <c r="AA546" s="59"/>
      <c r="AB546" s="59"/>
      <c r="AC546" s="61">
        <v>646670</v>
      </c>
      <c r="AD546" s="59"/>
      <c r="AE546" s="35">
        <f t="shared" si="251"/>
        <v>646670</v>
      </c>
      <c r="AF546" s="10"/>
      <c r="AG546" s="61">
        <v>33</v>
      </c>
      <c r="AH546" s="59">
        <v>73</v>
      </c>
      <c r="AI546" s="59">
        <v>116</v>
      </c>
      <c r="AJ546" s="62"/>
      <c r="AK546" s="10"/>
      <c r="AL546" s="61">
        <v>0</v>
      </c>
      <c r="AM546" s="59">
        <v>56</v>
      </c>
      <c r="AN546" s="35">
        <f>SUM(AL546:AM546)</f>
        <v>56</v>
      </c>
      <c r="AO546" s="279"/>
      <c r="AP546" s="279"/>
      <c r="AQ546" s="281"/>
      <c r="AR546" s="59">
        <v>150</v>
      </c>
      <c r="AS546" s="59">
        <v>53</v>
      </c>
      <c r="AT546" s="59">
        <v>89</v>
      </c>
      <c r="AU546" s="59">
        <v>21</v>
      </c>
      <c r="AV546" s="62">
        <v>191</v>
      </c>
      <c r="AW546" s="10"/>
      <c r="AX546" s="326">
        <v>38714</v>
      </c>
      <c r="AY546" s="5">
        <v>-4</v>
      </c>
      <c r="AZ546" s="10"/>
      <c r="BA546" s="61">
        <v>1815</v>
      </c>
      <c r="BB546" s="59">
        <v>39396042</v>
      </c>
      <c r="BC546" s="59"/>
      <c r="BD546" s="59"/>
      <c r="BE546" s="59">
        <v>58</v>
      </c>
      <c r="BF546" s="59">
        <v>4</v>
      </c>
      <c r="BG546" s="59">
        <v>2</v>
      </c>
      <c r="BH546" s="351"/>
      <c r="BI546" s="59">
        <v>2512440</v>
      </c>
      <c r="BJ546" s="342">
        <v>38727</v>
      </c>
      <c r="BK546" s="342">
        <v>38728</v>
      </c>
      <c r="BL546" s="320">
        <f>BK546-BJ546</f>
        <v>1</v>
      </c>
      <c r="BM546" s="62"/>
      <c r="BN546" s="10"/>
      <c r="BO546" s="8"/>
      <c r="BP546" s="62">
        <v>157</v>
      </c>
      <c r="BQ546" s="10"/>
      <c r="BR546" s="29">
        <v>2006</v>
      </c>
      <c r="BS546" s="64">
        <v>2006</v>
      </c>
      <c r="BT546" s="14">
        <v>1</v>
      </c>
      <c r="BU546" s="10"/>
      <c r="BV546" s="8">
        <v>1</v>
      </c>
      <c r="BW546" s="59">
        <v>0</v>
      </c>
      <c r="BX546" s="59">
        <v>2</v>
      </c>
      <c r="BY546" s="59"/>
      <c r="BZ546" s="59"/>
      <c r="CA546" s="59"/>
      <c r="CB546" s="59"/>
      <c r="CC546" s="221"/>
      <c r="CD546" s="59">
        <v>0</v>
      </c>
      <c r="CE546" s="59">
        <v>1</v>
      </c>
      <c r="CF546" s="59">
        <v>9</v>
      </c>
      <c r="CG546" s="59">
        <v>5</v>
      </c>
      <c r="CH546" s="59"/>
      <c r="CI546" s="59">
        <v>0</v>
      </c>
      <c r="CJ546" s="59">
        <v>8</v>
      </c>
      <c r="CK546" s="59"/>
      <c r="CL546" s="59"/>
      <c r="CM546" s="59">
        <v>0</v>
      </c>
      <c r="CN546" s="59"/>
      <c r="CO546" s="59">
        <v>1</v>
      </c>
      <c r="CP546" s="317"/>
      <c r="CQ546" s="59"/>
      <c r="CR546" s="59"/>
      <c r="CS546" s="59">
        <v>0</v>
      </c>
      <c r="CT546" s="59">
        <v>2</v>
      </c>
      <c r="CU546" s="59">
        <v>0</v>
      </c>
      <c r="CV546" s="59">
        <v>1</v>
      </c>
      <c r="CW546" s="59"/>
      <c r="CX546" s="59"/>
      <c r="CY546" s="59">
        <v>0</v>
      </c>
      <c r="CZ546" s="59"/>
      <c r="DA546" s="59"/>
      <c r="DB546" s="59">
        <v>1</v>
      </c>
      <c r="DC546" s="59"/>
      <c r="DD546" s="59"/>
      <c r="DE546" s="59"/>
      <c r="DF546" s="59"/>
      <c r="DG546" s="59">
        <v>0</v>
      </c>
      <c r="DH546" s="59">
        <v>0</v>
      </c>
      <c r="DI546" s="59">
        <v>0</v>
      </c>
      <c r="DJ546" s="59">
        <v>0</v>
      </c>
      <c r="DK546" s="59"/>
      <c r="DL546" s="59"/>
      <c r="DM546" s="59">
        <v>0</v>
      </c>
      <c r="DN546" s="59">
        <v>0</v>
      </c>
      <c r="DO546" s="59">
        <v>1</v>
      </c>
      <c r="DP546" s="59"/>
      <c r="DQ546" s="59"/>
      <c r="DR546" s="59"/>
      <c r="DS546" s="59">
        <v>2</v>
      </c>
      <c r="DT546" s="59">
        <v>0</v>
      </c>
      <c r="DU546" s="59">
        <v>1</v>
      </c>
      <c r="DV546" s="38">
        <f t="shared" si="252"/>
        <v>35</v>
      </c>
      <c r="DW546" s="14" t="str">
        <f t="shared" si="253"/>
        <v/>
      </c>
      <c r="DY546">
        <f t="shared" si="255"/>
        <v>35</v>
      </c>
      <c r="DZ546" t="str">
        <f t="shared" si="256"/>
        <v/>
      </c>
    </row>
    <row r="547" spans="1:130" customFormat="1">
      <c r="A547" s="210">
        <v>38732</v>
      </c>
      <c r="B547" s="211"/>
      <c r="C547" s="8">
        <v>0</v>
      </c>
      <c r="D547" s="59">
        <v>9</v>
      </c>
      <c r="E547" s="59">
        <v>0</v>
      </c>
      <c r="F547" s="59">
        <v>0</v>
      </c>
      <c r="G547" s="59">
        <v>2</v>
      </c>
      <c r="H547" s="59">
        <v>1</v>
      </c>
      <c r="I547" s="59">
        <v>0</v>
      </c>
      <c r="J547" s="59">
        <v>0</v>
      </c>
      <c r="K547" s="59">
        <v>0</v>
      </c>
      <c r="L547" s="59">
        <v>0</v>
      </c>
      <c r="M547" s="59">
        <v>0</v>
      </c>
      <c r="N547" s="59">
        <v>0</v>
      </c>
      <c r="O547" s="59">
        <v>12</v>
      </c>
      <c r="P547" s="59">
        <v>0</v>
      </c>
      <c r="Q547" s="59">
        <v>0</v>
      </c>
      <c r="R547" s="59">
        <v>0</v>
      </c>
      <c r="S547" s="35">
        <f t="shared" si="254"/>
        <v>24</v>
      </c>
      <c r="T547" s="59"/>
      <c r="U547" s="59">
        <v>17</v>
      </c>
      <c r="V547" s="59">
        <v>13</v>
      </c>
      <c r="W547" s="59">
        <v>0</v>
      </c>
      <c r="X547" s="62">
        <v>0</v>
      </c>
      <c r="Y547" s="10"/>
      <c r="Z547" s="61">
        <v>1352704</v>
      </c>
      <c r="AA547" s="59"/>
      <c r="AB547" s="59"/>
      <c r="AC547" s="61">
        <v>778261</v>
      </c>
      <c r="AD547" s="59"/>
      <c r="AE547" s="35">
        <f t="shared" si="251"/>
        <v>778261</v>
      </c>
      <c r="AF547" s="10"/>
      <c r="AG547" s="61">
        <v>41</v>
      </c>
      <c r="AH547" s="59">
        <v>88</v>
      </c>
      <c r="AI547" s="59">
        <v>138</v>
      </c>
      <c r="AJ547" s="62"/>
      <c r="AK547" s="10"/>
      <c r="AL547" s="8"/>
      <c r="AM547" s="10"/>
      <c r="AN547" s="35"/>
      <c r="AO547" s="279"/>
      <c r="AP547" s="279"/>
      <c r="AQ547" s="281"/>
      <c r="AR547" s="59">
        <v>148</v>
      </c>
      <c r="AS547" s="59">
        <v>46</v>
      </c>
      <c r="AT547" s="59">
        <v>75</v>
      </c>
      <c r="AU547" s="59">
        <v>21</v>
      </c>
      <c r="AV547" s="62">
        <v>169</v>
      </c>
      <c r="AW547" s="10"/>
      <c r="AX547" s="326">
        <v>38730</v>
      </c>
      <c r="AY547" s="5">
        <v>-2</v>
      </c>
      <c r="AZ547" s="10"/>
      <c r="BA547" s="61"/>
      <c r="BB547" s="59"/>
      <c r="BC547" s="59"/>
      <c r="BD547" s="59"/>
      <c r="BE547" s="59"/>
      <c r="BF547" s="59"/>
      <c r="BG547" s="59"/>
      <c r="BH547" s="351"/>
      <c r="BI547" s="59"/>
      <c r="BJ547" s="342"/>
      <c r="BK547" s="342"/>
      <c r="BL547" s="320"/>
      <c r="BM547" s="62"/>
      <c r="BN547" s="10"/>
      <c r="BO547" s="8"/>
      <c r="BP547" s="62"/>
      <c r="BQ547" s="10"/>
      <c r="BR547" s="29">
        <v>2006</v>
      </c>
      <c r="BS547" s="64">
        <v>2006</v>
      </c>
      <c r="BT547" s="14">
        <v>2</v>
      </c>
      <c r="BU547" s="10"/>
      <c r="BV547" s="8">
        <v>9</v>
      </c>
      <c r="BW547" s="59">
        <v>0</v>
      </c>
      <c r="BX547" s="59">
        <v>1</v>
      </c>
      <c r="BY547" s="59"/>
      <c r="BZ547" s="59"/>
      <c r="CA547" s="59"/>
      <c r="CB547" s="59"/>
      <c r="CC547" s="221"/>
      <c r="CD547" s="59">
        <v>5</v>
      </c>
      <c r="CE547" s="59">
        <v>4</v>
      </c>
      <c r="CF547" s="317">
        <v>0</v>
      </c>
      <c r="CG547" s="59">
        <v>0</v>
      </c>
      <c r="CH547" s="59"/>
      <c r="CI547" s="59">
        <v>1</v>
      </c>
      <c r="CJ547" s="59">
        <v>0</v>
      </c>
      <c r="CK547" s="59"/>
      <c r="CL547" s="59"/>
      <c r="CM547" s="59">
        <v>0</v>
      </c>
      <c r="CN547" s="59"/>
      <c r="CO547" s="59">
        <v>1</v>
      </c>
      <c r="CP547" s="317"/>
      <c r="CQ547" s="59"/>
      <c r="CR547" s="59"/>
      <c r="CS547" s="59">
        <v>1</v>
      </c>
      <c r="CT547" s="59">
        <v>0</v>
      </c>
      <c r="CU547" s="59">
        <v>0</v>
      </c>
      <c r="CV547" s="59">
        <v>0</v>
      </c>
      <c r="CW547" s="59"/>
      <c r="CX547" s="59"/>
      <c r="CY547" s="59">
        <v>0</v>
      </c>
      <c r="CZ547" s="59"/>
      <c r="DA547" s="59"/>
      <c r="DB547" s="59">
        <v>0</v>
      </c>
      <c r="DC547" s="59"/>
      <c r="DD547" s="59"/>
      <c r="DE547" s="59"/>
      <c r="DF547" s="59"/>
      <c r="DG547" s="59">
        <v>0</v>
      </c>
      <c r="DH547" s="59">
        <v>0</v>
      </c>
      <c r="DI547" s="59">
        <v>0</v>
      </c>
      <c r="DJ547" s="59">
        <v>0</v>
      </c>
      <c r="DK547" s="59"/>
      <c r="DL547" s="59"/>
      <c r="DM547" s="59">
        <v>2</v>
      </c>
      <c r="DN547" s="59">
        <v>0</v>
      </c>
      <c r="DO547" s="59">
        <v>0</v>
      </c>
      <c r="DP547" s="59"/>
      <c r="DQ547" s="59"/>
      <c r="DR547" s="59"/>
      <c r="DS547" s="59">
        <v>0</v>
      </c>
      <c r="DT547" s="59">
        <v>0</v>
      </c>
      <c r="DU547" s="59">
        <v>0</v>
      </c>
      <c r="DV547" s="38">
        <f t="shared" si="252"/>
        <v>24</v>
      </c>
      <c r="DW547" s="14" t="str">
        <f t="shared" si="253"/>
        <v/>
      </c>
      <c r="DY547">
        <f t="shared" si="255"/>
        <v>24</v>
      </c>
      <c r="DZ547" t="str">
        <f t="shared" si="256"/>
        <v/>
      </c>
    </row>
    <row r="548" spans="1:130" customFormat="1">
      <c r="A548" s="210">
        <v>38749</v>
      </c>
      <c r="B548" s="211"/>
      <c r="C548" s="61">
        <v>2</v>
      </c>
      <c r="D548" s="59">
        <v>11</v>
      </c>
      <c r="E548" s="59">
        <v>0</v>
      </c>
      <c r="F548" s="59">
        <v>0</v>
      </c>
      <c r="G548" s="59">
        <v>0</v>
      </c>
      <c r="H548" s="59">
        <v>0</v>
      </c>
      <c r="I548" s="59">
        <v>0</v>
      </c>
      <c r="J548" s="59">
        <v>5</v>
      </c>
      <c r="K548" s="59">
        <v>1</v>
      </c>
      <c r="L548" s="59">
        <v>0</v>
      </c>
      <c r="M548" s="59">
        <v>0</v>
      </c>
      <c r="N548" s="59">
        <v>0</v>
      </c>
      <c r="O548" s="59">
        <v>0</v>
      </c>
      <c r="P548" s="59">
        <v>0</v>
      </c>
      <c r="Q548" s="59">
        <v>0</v>
      </c>
      <c r="R548" s="59">
        <v>0</v>
      </c>
      <c r="S548" s="35">
        <f t="shared" si="254"/>
        <v>19</v>
      </c>
      <c r="T548" s="59"/>
      <c r="U548" s="59">
        <v>6</v>
      </c>
      <c r="V548" s="59">
        <v>4</v>
      </c>
      <c r="W548" s="59">
        <v>0</v>
      </c>
      <c r="X548" s="62">
        <v>0</v>
      </c>
      <c r="Y548" s="10"/>
      <c r="Z548" s="61">
        <v>738304</v>
      </c>
      <c r="AA548" s="59"/>
      <c r="AB548" s="59"/>
      <c r="AC548" s="61">
        <v>557865</v>
      </c>
      <c r="AD548" s="59"/>
      <c r="AE548" s="35">
        <f t="shared" si="251"/>
        <v>557865</v>
      </c>
      <c r="AF548" s="10"/>
      <c r="AG548" s="61">
        <v>38</v>
      </c>
      <c r="AH548" s="59">
        <v>14</v>
      </c>
      <c r="AI548" s="59">
        <v>60</v>
      </c>
      <c r="AJ548" s="62"/>
      <c r="AK548" s="10"/>
      <c r="AL548" s="8"/>
      <c r="AM548" s="10"/>
      <c r="AN548" s="35"/>
      <c r="AO548" s="279"/>
      <c r="AP548" s="279"/>
      <c r="AQ548" s="281"/>
      <c r="AR548" s="59">
        <v>148</v>
      </c>
      <c r="AS548" s="59">
        <v>52</v>
      </c>
      <c r="AT548" s="59">
        <v>87</v>
      </c>
      <c r="AU548" s="59">
        <v>20</v>
      </c>
      <c r="AV548" s="62">
        <v>187</v>
      </c>
      <c r="AW548" s="10"/>
      <c r="AX548" s="326">
        <v>38744</v>
      </c>
      <c r="AY548" s="5">
        <v>-5</v>
      </c>
      <c r="AZ548" s="10"/>
      <c r="BA548" s="61">
        <v>1816</v>
      </c>
      <c r="BB548" s="59">
        <v>39843056</v>
      </c>
      <c r="BC548" s="59"/>
      <c r="BD548" s="59"/>
      <c r="BE548" s="59">
        <v>41</v>
      </c>
      <c r="BF548" s="59">
        <v>2</v>
      </c>
      <c r="BG548" s="59">
        <v>1</v>
      </c>
      <c r="BH548" s="351"/>
      <c r="BI548" s="59">
        <v>1558819</v>
      </c>
      <c r="BJ548" s="342">
        <v>38758</v>
      </c>
      <c r="BK548" s="342">
        <v>38758</v>
      </c>
      <c r="BL548" s="320">
        <f>BK548-BJ548</f>
        <v>0</v>
      </c>
      <c r="BM548" s="62"/>
      <c r="BN548" s="10"/>
      <c r="BO548" s="8"/>
      <c r="BP548" s="62">
        <v>158</v>
      </c>
      <c r="BQ548" s="10"/>
      <c r="BR548" s="29">
        <v>2006</v>
      </c>
      <c r="BS548" s="64">
        <v>2006</v>
      </c>
      <c r="BT548" s="14">
        <v>3</v>
      </c>
      <c r="BU548" s="10"/>
      <c r="BV548" s="8">
        <v>1</v>
      </c>
      <c r="BW548" s="59">
        <v>1</v>
      </c>
      <c r="BX548" s="59">
        <v>0</v>
      </c>
      <c r="BY548" s="59"/>
      <c r="BZ548" s="59"/>
      <c r="CA548" s="59"/>
      <c r="CB548" s="59"/>
      <c r="CC548" s="221"/>
      <c r="CD548" s="59">
        <v>2</v>
      </c>
      <c r="CE548" s="59">
        <v>0</v>
      </c>
      <c r="CF548" s="317">
        <v>0</v>
      </c>
      <c r="CG548" s="59">
        <v>0</v>
      </c>
      <c r="CH548" s="59"/>
      <c r="CI548" s="59">
        <v>5</v>
      </c>
      <c r="CJ548" s="59">
        <v>1</v>
      </c>
      <c r="CK548" s="59"/>
      <c r="CL548" s="59"/>
      <c r="CM548" s="59">
        <v>0</v>
      </c>
      <c r="CN548" s="59"/>
      <c r="CO548" s="59">
        <v>1</v>
      </c>
      <c r="CP548" s="317"/>
      <c r="CQ548" s="59"/>
      <c r="CR548" s="59"/>
      <c r="CS548" s="59">
        <v>0</v>
      </c>
      <c r="CT548" s="59">
        <v>0</v>
      </c>
      <c r="CU548" s="59">
        <v>0</v>
      </c>
      <c r="CV548" s="59">
        <v>0</v>
      </c>
      <c r="CW548" s="59"/>
      <c r="CX548" s="59"/>
      <c r="CY548" s="59">
        <v>1</v>
      </c>
      <c r="CZ548" s="59"/>
      <c r="DA548" s="59"/>
      <c r="DB548" s="59">
        <v>5</v>
      </c>
      <c r="DC548" s="59"/>
      <c r="DD548" s="59"/>
      <c r="DE548" s="59"/>
      <c r="DF548" s="59"/>
      <c r="DG548" s="59">
        <v>2</v>
      </c>
      <c r="DH548" s="59">
        <v>0</v>
      </c>
      <c r="DI548" s="59">
        <v>0</v>
      </c>
      <c r="DJ548" s="59">
        <v>0</v>
      </c>
      <c r="DK548" s="59"/>
      <c r="DL548" s="59"/>
      <c r="DM548" s="59">
        <v>0</v>
      </c>
      <c r="DN548" s="59">
        <v>0</v>
      </c>
      <c r="DO548" s="59">
        <v>0</v>
      </c>
      <c r="DP548" s="59"/>
      <c r="DQ548" s="59"/>
      <c r="DR548" s="59"/>
      <c r="DS548" s="59">
        <v>0</v>
      </c>
      <c r="DT548" s="59">
        <v>0</v>
      </c>
      <c r="DU548" s="59">
        <v>0</v>
      </c>
      <c r="DV548" s="38">
        <f t="shared" si="252"/>
        <v>19</v>
      </c>
      <c r="DW548" s="14" t="str">
        <f t="shared" si="253"/>
        <v/>
      </c>
      <c r="DY548">
        <f t="shared" si="255"/>
        <v>19</v>
      </c>
      <c r="DZ548" t="str">
        <f t="shared" si="256"/>
        <v/>
      </c>
    </row>
    <row r="549" spans="1:130" customFormat="1">
      <c r="A549" s="210">
        <v>38763</v>
      </c>
      <c r="B549" s="211"/>
      <c r="C549" s="61">
        <v>2</v>
      </c>
      <c r="D549" s="59">
        <v>8</v>
      </c>
      <c r="E549" s="59">
        <v>0</v>
      </c>
      <c r="F549" s="59">
        <v>1</v>
      </c>
      <c r="G549" s="59">
        <v>0</v>
      </c>
      <c r="H549" s="59">
        <v>0</v>
      </c>
      <c r="I549" s="59">
        <v>0</v>
      </c>
      <c r="J549" s="59">
        <v>10</v>
      </c>
      <c r="K549" s="59">
        <v>0</v>
      </c>
      <c r="L549" s="59">
        <v>0</v>
      </c>
      <c r="M549" s="59">
        <v>0</v>
      </c>
      <c r="N549" s="59">
        <v>0</v>
      </c>
      <c r="O549" s="59">
        <v>3</v>
      </c>
      <c r="P549" s="59">
        <v>0</v>
      </c>
      <c r="Q549" s="59">
        <v>0</v>
      </c>
      <c r="R549" s="59">
        <v>0</v>
      </c>
      <c r="S549" s="35">
        <f t="shared" si="254"/>
        <v>24</v>
      </c>
      <c r="T549" s="59"/>
      <c r="U549" s="59">
        <v>11</v>
      </c>
      <c r="V549" s="59">
        <v>9</v>
      </c>
      <c r="W549" s="59">
        <v>0</v>
      </c>
      <c r="X549" s="62">
        <v>1</v>
      </c>
      <c r="Y549" s="10"/>
      <c r="Z549" s="61">
        <v>808448</v>
      </c>
      <c r="AA549" s="59"/>
      <c r="AB549" s="59"/>
      <c r="AC549" s="61">
        <v>226931</v>
      </c>
      <c r="AD549" s="59"/>
      <c r="AE549" s="35">
        <f t="shared" si="251"/>
        <v>226931</v>
      </c>
      <c r="AF549" s="10"/>
      <c r="AG549" s="61">
        <v>35</v>
      </c>
      <c r="AH549" s="59">
        <v>16</v>
      </c>
      <c r="AI549" s="59">
        <v>62</v>
      </c>
      <c r="AJ549" s="62"/>
      <c r="AK549" s="10"/>
      <c r="AL549" s="8"/>
      <c r="AM549" s="10"/>
      <c r="AN549" s="35"/>
      <c r="AO549" s="279"/>
      <c r="AP549" s="279"/>
      <c r="AQ549" s="281"/>
      <c r="AR549" s="59">
        <v>148</v>
      </c>
      <c r="AS549" s="59">
        <v>53</v>
      </c>
      <c r="AT549" s="59">
        <v>85</v>
      </c>
      <c r="AU549" s="59">
        <v>19</v>
      </c>
      <c r="AV549" s="62">
        <v>186</v>
      </c>
      <c r="AW549" s="10"/>
      <c r="AX549" s="326">
        <v>38762</v>
      </c>
      <c r="AY549" s="5">
        <v>-1</v>
      </c>
      <c r="AZ549" s="10"/>
      <c r="BA549" s="61"/>
      <c r="BB549" s="59"/>
      <c r="BC549" s="59"/>
      <c r="BD549" s="59"/>
      <c r="BE549" s="59"/>
      <c r="BF549" s="59"/>
      <c r="BG549" s="59"/>
      <c r="BH549" s="351"/>
      <c r="BI549" s="59"/>
      <c r="BJ549" s="342"/>
      <c r="BK549" s="342"/>
      <c r="BL549" s="320"/>
      <c r="BM549" s="62"/>
      <c r="BN549" s="10"/>
      <c r="BO549" s="8"/>
      <c r="BP549" s="62"/>
      <c r="BQ549" s="10"/>
      <c r="BR549" s="29">
        <v>2006</v>
      </c>
      <c r="BS549" s="64">
        <v>2006</v>
      </c>
      <c r="BT549" s="14">
        <v>4</v>
      </c>
      <c r="BU549" s="10"/>
      <c r="BV549" s="8">
        <v>4</v>
      </c>
      <c r="BW549" s="59">
        <v>2</v>
      </c>
      <c r="BX549" s="59">
        <v>0</v>
      </c>
      <c r="BY549" s="59"/>
      <c r="BZ549" s="59"/>
      <c r="CA549" s="59"/>
      <c r="CB549" s="59"/>
      <c r="CC549" s="221"/>
      <c r="CD549" s="59">
        <v>2</v>
      </c>
      <c r="CE549" s="59">
        <v>1</v>
      </c>
      <c r="CF549" s="317">
        <v>0</v>
      </c>
      <c r="CG549" s="59">
        <v>0</v>
      </c>
      <c r="CH549" s="59"/>
      <c r="CI549" s="59">
        <v>0</v>
      </c>
      <c r="CJ549" s="59">
        <v>1</v>
      </c>
      <c r="CK549" s="59"/>
      <c r="CL549" s="59"/>
      <c r="CM549" s="59">
        <v>0</v>
      </c>
      <c r="CN549" s="59"/>
      <c r="CO549" s="59">
        <v>2</v>
      </c>
      <c r="CP549" s="317"/>
      <c r="CQ549" s="59"/>
      <c r="CR549" s="59"/>
      <c r="CS549" s="59">
        <v>0</v>
      </c>
      <c r="CT549" s="59">
        <v>0</v>
      </c>
      <c r="CU549" s="59">
        <v>0</v>
      </c>
      <c r="CV549" s="59">
        <v>3</v>
      </c>
      <c r="CW549" s="59"/>
      <c r="CX549" s="59"/>
      <c r="CY549" s="59">
        <v>0</v>
      </c>
      <c r="CZ549" s="59"/>
      <c r="DA549" s="59"/>
      <c r="DB549" s="59">
        <v>0</v>
      </c>
      <c r="DC549" s="59"/>
      <c r="DD549" s="59"/>
      <c r="DE549" s="59"/>
      <c r="DF549" s="59"/>
      <c r="DG549" s="59">
        <v>0</v>
      </c>
      <c r="DH549" s="59">
        <v>0</v>
      </c>
      <c r="DI549" s="59">
        <v>0</v>
      </c>
      <c r="DJ549" s="59">
        <v>3</v>
      </c>
      <c r="DK549" s="59"/>
      <c r="DL549" s="59"/>
      <c r="DM549" s="59">
        <v>0</v>
      </c>
      <c r="DN549" s="59">
        <v>0</v>
      </c>
      <c r="DO549" s="59">
        <v>3</v>
      </c>
      <c r="DP549" s="59"/>
      <c r="DQ549" s="59"/>
      <c r="DR549" s="59"/>
      <c r="DS549" s="59">
        <v>2</v>
      </c>
      <c r="DT549" s="59">
        <v>1</v>
      </c>
      <c r="DU549" s="59">
        <v>0</v>
      </c>
      <c r="DV549" s="38">
        <f t="shared" si="252"/>
        <v>24</v>
      </c>
      <c r="DW549" s="14" t="str">
        <f t="shared" si="253"/>
        <v/>
      </c>
      <c r="DY549">
        <f t="shared" si="255"/>
        <v>24</v>
      </c>
      <c r="DZ549" t="str">
        <f t="shared" si="256"/>
        <v/>
      </c>
    </row>
    <row r="550" spans="1:130" customFormat="1">
      <c r="A550" s="210">
        <v>38777</v>
      </c>
      <c r="B550" s="211"/>
      <c r="C550" s="61">
        <v>4</v>
      </c>
      <c r="D550" s="59">
        <v>16</v>
      </c>
      <c r="E550" s="59">
        <v>0</v>
      </c>
      <c r="F550" s="59">
        <v>0</v>
      </c>
      <c r="G550" s="59">
        <v>2</v>
      </c>
      <c r="H550" s="59">
        <v>0</v>
      </c>
      <c r="I550" s="59">
        <v>0</v>
      </c>
      <c r="J550" s="59">
        <v>8</v>
      </c>
      <c r="K550" s="59">
        <v>0</v>
      </c>
      <c r="L550" s="59">
        <v>0</v>
      </c>
      <c r="M550" s="59">
        <v>0</v>
      </c>
      <c r="N550" s="59">
        <v>0</v>
      </c>
      <c r="O550" s="59">
        <v>4</v>
      </c>
      <c r="P550" s="59">
        <v>1</v>
      </c>
      <c r="Q550" s="59">
        <v>0</v>
      </c>
      <c r="R550" s="59">
        <v>0</v>
      </c>
      <c r="S550" s="35">
        <f t="shared" si="254"/>
        <v>35</v>
      </c>
      <c r="T550" s="59"/>
      <c r="U550" s="59">
        <v>10</v>
      </c>
      <c r="V550" s="59">
        <v>9</v>
      </c>
      <c r="W550" s="59">
        <v>0</v>
      </c>
      <c r="X550" s="62">
        <v>0</v>
      </c>
      <c r="Y550" s="10"/>
      <c r="Z550" s="61">
        <v>1003520</v>
      </c>
      <c r="AA550" s="59"/>
      <c r="AB550" s="59"/>
      <c r="AC550" s="61">
        <v>414238</v>
      </c>
      <c r="AD550" s="59"/>
      <c r="AE550" s="35">
        <f t="shared" si="251"/>
        <v>414238</v>
      </c>
      <c r="AF550" s="10"/>
      <c r="AG550" s="61">
        <v>49</v>
      </c>
      <c r="AH550" s="59">
        <v>19</v>
      </c>
      <c r="AI550" s="59">
        <v>76</v>
      </c>
      <c r="AJ550" s="62"/>
      <c r="AK550" s="10"/>
      <c r="AL550" s="8"/>
      <c r="AM550" s="10"/>
      <c r="AN550" s="35"/>
      <c r="AO550" s="279"/>
      <c r="AP550" s="279"/>
      <c r="AQ550" s="281"/>
      <c r="AR550" s="59">
        <v>148</v>
      </c>
      <c r="AS550" s="59">
        <v>54</v>
      </c>
      <c r="AT550" s="59">
        <v>86</v>
      </c>
      <c r="AU550" s="59">
        <v>19</v>
      </c>
      <c r="AV550" s="62">
        <v>191</v>
      </c>
      <c r="AW550" s="10"/>
      <c r="AX550" s="326">
        <v>38776</v>
      </c>
      <c r="AY550" s="5">
        <v>-1</v>
      </c>
      <c r="AZ550" s="10"/>
      <c r="BA550" s="61">
        <v>1817</v>
      </c>
      <c r="BB550" s="59">
        <v>40507432</v>
      </c>
      <c r="BC550" s="59"/>
      <c r="BD550" s="59"/>
      <c r="BE550" s="59">
        <v>41</v>
      </c>
      <c r="BF550" s="59">
        <v>1</v>
      </c>
      <c r="BG550" s="59">
        <v>0</v>
      </c>
      <c r="BH550" s="351"/>
      <c r="BI550" s="59">
        <v>1981925</v>
      </c>
      <c r="BJ550" s="327">
        <v>38786</v>
      </c>
      <c r="BK550" s="342">
        <v>38786</v>
      </c>
      <c r="BL550" s="320">
        <f>BK550-BJ550</f>
        <v>0</v>
      </c>
      <c r="BM550" s="62"/>
      <c r="BN550" s="10"/>
      <c r="BO550" s="8"/>
      <c r="BP550" s="62">
        <v>159</v>
      </c>
      <c r="BQ550" s="10"/>
      <c r="BR550" s="29">
        <v>2006</v>
      </c>
      <c r="BS550" s="64">
        <v>2006</v>
      </c>
      <c r="BT550" s="14">
        <v>5</v>
      </c>
      <c r="BU550" s="10"/>
      <c r="BV550" s="8">
        <v>1</v>
      </c>
      <c r="BW550" s="59">
        <v>4</v>
      </c>
      <c r="BX550" s="59">
        <v>0</v>
      </c>
      <c r="BY550" s="59"/>
      <c r="BZ550" s="59"/>
      <c r="CA550" s="59"/>
      <c r="CB550" s="59"/>
      <c r="CC550" s="221"/>
      <c r="CD550" s="59">
        <v>8</v>
      </c>
      <c r="CE550" s="59">
        <v>1</v>
      </c>
      <c r="CF550" s="317">
        <v>0</v>
      </c>
      <c r="CG550" s="59">
        <v>0</v>
      </c>
      <c r="CH550" s="59"/>
      <c r="CI550" s="59">
        <v>3</v>
      </c>
      <c r="CJ550" s="59">
        <v>6</v>
      </c>
      <c r="CK550" s="59"/>
      <c r="CL550" s="59"/>
      <c r="CM550" s="59">
        <v>0</v>
      </c>
      <c r="CN550" s="59"/>
      <c r="CO550" s="59">
        <v>1</v>
      </c>
      <c r="CP550" s="317"/>
      <c r="CQ550" s="59"/>
      <c r="CR550" s="59"/>
      <c r="CS550" s="59">
        <v>0</v>
      </c>
      <c r="CT550" s="59">
        <v>0</v>
      </c>
      <c r="CU550" s="59">
        <v>0</v>
      </c>
      <c r="CV550" s="59">
        <v>3</v>
      </c>
      <c r="CW550" s="59"/>
      <c r="CX550" s="59"/>
      <c r="CY550" s="59">
        <v>2</v>
      </c>
      <c r="CZ550" s="59"/>
      <c r="DA550" s="59"/>
      <c r="DB550" s="59">
        <v>5</v>
      </c>
      <c r="DC550" s="59"/>
      <c r="DD550" s="59"/>
      <c r="DE550" s="59"/>
      <c r="DF550" s="59"/>
      <c r="DG550" s="59">
        <v>0</v>
      </c>
      <c r="DH550" s="59">
        <v>0</v>
      </c>
      <c r="DI550" s="59">
        <v>0</v>
      </c>
      <c r="DJ550" s="59">
        <v>0</v>
      </c>
      <c r="DK550" s="59"/>
      <c r="DL550" s="59"/>
      <c r="DM550" s="59">
        <v>0</v>
      </c>
      <c r="DN550" s="59">
        <v>0</v>
      </c>
      <c r="DO550" s="59">
        <v>1</v>
      </c>
      <c r="DP550" s="59"/>
      <c r="DQ550" s="59"/>
      <c r="DR550" s="59"/>
      <c r="DS550" s="59">
        <v>0</v>
      </c>
      <c r="DT550" s="59">
        <v>0</v>
      </c>
      <c r="DU550" s="59">
        <v>0</v>
      </c>
      <c r="DV550" s="38">
        <f t="shared" si="252"/>
        <v>35</v>
      </c>
      <c r="DW550" s="14" t="str">
        <f t="shared" si="253"/>
        <v/>
      </c>
      <c r="DY550">
        <f t="shared" si="255"/>
        <v>35</v>
      </c>
      <c r="DZ550" t="str">
        <f t="shared" si="256"/>
        <v/>
      </c>
    </row>
    <row r="551" spans="1:130" customFormat="1">
      <c r="A551" s="210">
        <v>38791</v>
      </c>
      <c r="B551" s="211"/>
      <c r="C551" s="61">
        <v>1</v>
      </c>
      <c r="D551" s="59">
        <v>6</v>
      </c>
      <c r="E551" s="59">
        <v>0</v>
      </c>
      <c r="F551" s="59">
        <v>0</v>
      </c>
      <c r="G551" s="59">
        <v>0</v>
      </c>
      <c r="H551" s="59">
        <v>0</v>
      </c>
      <c r="I551" s="59">
        <v>0</v>
      </c>
      <c r="J551" s="59">
        <v>0</v>
      </c>
      <c r="K551" s="59">
        <v>0</v>
      </c>
      <c r="L551" s="59">
        <v>0</v>
      </c>
      <c r="M551" s="59">
        <v>0</v>
      </c>
      <c r="N551" s="59">
        <v>0</v>
      </c>
      <c r="O551" s="59">
        <v>6</v>
      </c>
      <c r="P551" s="59">
        <v>1</v>
      </c>
      <c r="Q551" s="59">
        <v>0</v>
      </c>
      <c r="R551" s="59">
        <v>0</v>
      </c>
      <c r="S551" s="35">
        <f t="shared" si="254"/>
        <v>14</v>
      </c>
      <c r="T551" s="59"/>
      <c r="U551" s="59">
        <v>6</v>
      </c>
      <c r="V551" s="59">
        <v>4</v>
      </c>
      <c r="W551" s="59">
        <v>0</v>
      </c>
      <c r="X551" s="62">
        <v>0</v>
      </c>
      <c r="Y551" s="10"/>
      <c r="Z551" s="61">
        <v>946176</v>
      </c>
      <c r="AA551" s="59"/>
      <c r="AB551" s="59"/>
      <c r="AC551" s="61">
        <v>246985</v>
      </c>
      <c r="AD551" s="59"/>
      <c r="AE551" s="35">
        <f t="shared" si="251"/>
        <v>246985</v>
      </c>
      <c r="AF551" s="10"/>
      <c r="AG551" s="61">
        <v>28</v>
      </c>
      <c r="AH551" s="59">
        <v>24</v>
      </c>
      <c r="AI551" s="59">
        <v>60</v>
      </c>
      <c r="AJ551" s="62"/>
      <c r="AK551" s="10"/>
      <c r="AL551" s="8"/>
      <c r="AM551" s="10"/>
      <c r="AN551" s="35"/>
      <c r="AO551" s="279"/>
      <c r="AP551" s="279"/>
      <c r="AQ551" s="281"/>
      <c r="AR551" s="59">
        <v>148</v>
      </c>
      <c r="AS551" s="59">
        <v>53</v>
      </c>
      <c r="AT551" s="59">
        <v>90</v>
      </c>
      <c r="AU551" s="59">
        <v>19</v>
      </c>
      <c r="AV551" s="62">
        <v>194</v>
      </c>
      <c r="AW551" s="10"/>
      <c r="AX551" s="326">
        <v>38789</v>
      </c>
      <c r="AY551" s="5">
        <v>-2</v>
      </c>
      <c r="AZ551" s="10"/>
      <c r="BA551" s="61"/>
      <c r="BB551" s="59"/>
      <c r="BC551" s="59"/>
      <c r="BD551" s="59"/>
      <c r="BE551" s="59"/>
      <c r="BF551" s="59"/>
      <c r="BG551" s="59"/>
      <c r="BH551" s="351"/>
      <c r="BI551" s="59"/>
      <c r="BJ551" s="327"/>
      <c r="BK551" s="327"/>
      <c r="BL551" s="320"/>
      <c r="BM551" s="62"/>
      <c r="BN551" s="10"/>
      <c r="BO551" s="8"/>
      <c r="BP551" s="62"/>
      <c r="BQ551" s="10"/>
      <c r="BR551" s="29">
        <v>2006</v>
      </c>
      <c r="BS551" s="64">
        <v>2006</v>
      </c>
      <c r="BT551" s="14">
        <v>6</v>
      </c>
      <c r="BU551" s="10"/>
      <c r="BV551" s="8">
        <v>0</v>
      </c>
      <c r="BW551" s="59">
        <v>0</v>
      </c>
      <c r="BX551" s="59">
        <v>0</v>
      </c>
      <c r="BY551" s="59"/>
      <c r="BZ551" s="59"/>
      <c r="CA551" s="59"/>
      <c r="CB551" s="59"/>
      <c r="CC551" s="221"/>
      <c r="CD551" s="59">
        <v>1</v>
      </c>
      <c r="CE551" s="59">
        <v>0</v>
      </c>
      <c r="CF551" s="317">
        <v>0</v>
      </c>
      <c r="CG551" s="59">
        <v>0</v>
      </c>
      <c r="CH551" s="59"/>
      <c r="CI551" s="59">
        <v>0</v>
      </c>
      <c r="CJ551" s="59">
        <v>0</v>
      </c>
      <c r="CK551" s="59"/>
      <c r="CL551" s="59"/>
      <c r="CM551" s="59">
        <v>0</v>
      </c>
      <c r="CN551" s="59"/>
      <c r="CO551" s="59">
        <v>1</v>
      </c>
      <c r="CP551" s="317"/>
      <c r="CQ551" s="59"/>
      <c r="CR551" s="59"/>
      <c r="CS551" s="59">
        <v>0</v>
      </c>
      <c r="CT551" s="59">
        <v>0</v>
      </c>
      <c r="CU551" s="59">
        <v>0</v>
      </c>
      <c r="CV551" s="59">
        <v>4</v>
      </c>
      <c r="CW551" s="59"/>
      <c r="CX551" s="59"/>
      <c r="CY551" s="59">
        <v>0</v>
      </c>
      <c r="CZ551" s="59"/>
      <c r="DA551" s="59"/>
      <c r="DB551" s="59">
        <v>2</v>
      </c>
      <c r="DC551" s="59"/>
      <c r="DD551" s="59"/>
      <c r="DE551" s="59"/>
      <c r="DF551" s="59"/>
      <c r="DG551" s="59">
        <v>0</v>
      </c>
      <c r="DH551" s="59">
        <v>0</v>
      </c>
      <c r="DI551" s="59">
        <v>0</v>
      </c>
      <c r="DJ551" s="59">
        <v>0</v>
      </c>
      <c r="DK551" s="59"/>
      <c r="DL551" s="59"/>
      <c r="DM551" s="59">
        <v>0</v>
      </c>
      <c r="DN551" s="59">
        <v>0</v>
      </c>
      <c r="DO551" s="59">
        <v>3</v>
      </c>
      <c r="DP551" s="59"/>
      <c r="DQ551" s="59"/>
      <c r="DR551" s="59"/>
      <c r="DS551" s="59">
        <v>1</v>
      </c>
      <c r="DT551" s="59">
        <v>2</v>
      </c>
      <c r="DU551" s="59">
        <v>0</v>
      </c>
      <c r="DV551" s="38">
        <f t="shared" si="252"/>
        <v>14</v>
      </c>
      <c r="DW551" s="14" t="str">
        <f t="shared" si="253"/>
        <v/>
      </c>
      <c r="DY551">
        <f t="shared" si="255"/>
        <v>14</v>
      </c>
      <c r="DZ551" t="str">
        <f t="shared" si="256"/>
        <v/>
      </c>
    </row>
    <row r="552" spans="1:130" customFormat="1">
      <c r="A552" s="210">
        <v>38808</v>
      </c>
      <c r="B552" s="211"/>
      <c r="C552" s="61">
        <v>0</v>
      </c>
      <c r="D552" s="59">
        <v>7</v>
      </c>
      <c r="E552" s="59">
        <v>1</v>
      </c>
      <c r="F552" s="59">
        <v>0</v>
      </c>
      <c r="G552" s="59">
        <v>5</v>
      </c>
      <c r="H552" s="59">
        <v>0</v>
      </c>
      <c r="I552" s="59">
        <v>0</v>
      </c>
      <c r="J552" s="59">
        <v>4</v>
      </c>
      <c r="K552" s="59">
        <v>0</v>
      </c>
      <c r="L552" s="59">
        <v>0</v>
      </c>
      <c r="M552" s="59">
        <v>0</v>
      </c>
      <c r="N552" s="59">
        <v>0</v>
      </c>
      <c r="O552" s="59">
        <v>1</v>
      </c>
      <c r="P552" s="59">
        <v>0</v>
      </c>
      <c r="Q552" s="59">
        <v>0</v>
      </c>
      <c r="R552" s="59">
        <v>0</v>
      </c>
      <c r="S552" s="35">
        <f t="shared" si="254"/>
        <v>18</v>
      </c>
      <c r="T552" s="59"/>
      <c r="U552" s="59">
        <v>12</v>
      </c>
      <c r="V552" s="59">
        <v>7</v>
      </c>
      <c r="W552" s="59">
        <v>0</v>
      </c>
      <c r="X552" s="62">
        <v>0</v>
      </c>
      <c r="Y552" s="10"/>
      <c r="Z552" s="61">
        <v>1087488</v>
      </c>
      <c r="AA552" s="59"/>
      <c r="AB552" s="59"/>
      <c r="AC552" s="61">
        <v>187505</v>
      </c>
      <c r="AD552" s="59"/>
      <c r="AE552" s="35">
        <f t="shared" si="251"/>
        <v>187505</v>
      </c>
      <c r="AF552" s="10"/>
      <c r="AG552" s="61">
        <v>33</v>
      </c>
      <c r="AH552" s="59">
        <v>27</v>
      </c>
      <c r="AI552" s="59">
        <v>70</v>
      </c>
      <c r="AJ552" s="62"/>
      <c r="AK552" s="10"/>
      <c r="AL552" s="8">
        <v>0</v>
      </c>
      <c r="AM552" s="59">
        <v>56</v>
      </c>
      <c r="AN552" s="35">
        <f>SUM(AL552:AM552)</f>
        <v>56</v>
      </c>
      <c r="AO552" s="279"/>
      <c r="AP552" s="279"/>
      <c r="AQ552" s="281"/>
      <c r="AR552" s="59">
        <v>147</v>
      </c>
      <c r="AS552" s="59">
        <v>53</v>
      </c>
      <c r="AT552" s="59">
        <v>90</v>
      </c>
      <c r="AU552" s="59">
        <v>19</v>
      </c>
      <c r="AV552" s="62">
        <v>193</v>
      </c>
      <c r="AW552" s="10"/>
      <c r="AX552" s="326">
        <v>38807</v>
      </c>
      <c r="AY552" s="5">
        <v>-1</v>
      </c>
      <c r="AZ552" s="10"/>
      <c r="BA552" s="61">
        <v>1820</v>
      </c>
      <c r="BB552" s="59">
        <v>40986463</v>
      </c>
      <c r="BC552" s="59"/>
      <c r="BD552" s="59"/>
      <c r="BE552" s="59">
        <v>57</v>
      </c>
      <c r="BF552" s="59">
        <v>3</v>
      </c>
      <c r="BG552" s="59">
        <v>0</v>
      </c>
      <c r="BH552" s="351"/>
      <c r="BI552" s="59">
        <v>2095821</v>
      </c>
      <c r="BJ552" s="327">
        <v>38817</v>
      </c>
      <c r="BK552" s="344">
        <v>38817</v>
      </c>
      <c r="BL552" s="320">
        <f>BK552-BJ552</f>
        <v>0</v>
      </c>
      <c r="BM552" s="62"/>
      <c r="BN552" s="10"/>
      <c r="BO552" s="8"/>
      <c r="BP552" s="62">
        <v>159</v>
      </c>
      <c r="BQ552" s="10"/>
      <c r="BR552" s="29">
        <v>2006</v>
      </c>
      <c r="BS552" s="64">
        <v>2006</v>
      </c>
      <c r="BT552" s="14">
        <v>7</v>
      </c>
      <c r="BU552" s="10"/>
      <c r="BV552" s="8">
        <v>0</v>
      </c>
      <c r="BW552" s="59">
        <v>0</v>
      </c>
      <c r="BX552" s="59">
        <v>0</v>
      </c>
      <c r="BY552" s="59"/>
      <c r="BZ552" s="59"/>
      <c r="CA552" s="59"/>
      <c r="CB552" s="59"/>
      <c r="CC552" s="221"/>
      <c r="CD552" s="59">
        <v>4</v>
      </c>
      <c r="CE552" s="59">
        <v>0</v>
      </c>
      <c r="CF552" s="317">
        <v>0</v>
      </c>
      <c r="CG552" s="59">
        <v>0</v>
      </c>
      <c r="CH552" s="59"/>
      <c r="CI552" s="59">
        <v>0</v>
      </c>
      <c r="CJ552" s="59">
        <v>9</v>
      </c>
      <c r="CK552" s="59"/>
      <c r="CL552" s="59"/>
      <c r="CM552" s="59">
        <v>0</v>
      </c>
      <c r="CN552" s="59"/>
      <c r="CO552" s="59">
        <v>0</v>
      </c>
      <c r="CP552" s="317"/>
      <c r="CQ552" s="59"/>
      <c r="CR552" s="59"/>
      <c r="CS552" s="59">
        <v>0</v>
      </c>
      <c r="CT552" s="59">
        <v>0</v>
      </c>
      <c r="CU552" s="59">
        <v>0</v>
      </c>
      <c r="CV552" s="59">
        <v>1</v>
      </c>
      <c r="CW552" s="59"/>
      <c r="CX552" s="59"/>
      <c r="CY552" s="59">
        <v>2</v>
      </c>
      <c r="CZ552" s="59"/>
      <c r="DA552" s="59"/>
      <c r="DB552" s="59">
        <v>0</v>
      </c>
      <c r="DC552" s="59"/>
      <c r="DD552" s="59"/>
      <c r="DE552" s="59"/>
      <c r="DF552" s="59"/>
      <c r="DG552" s="59">
        <v>0</v>
      </c>
      <c r="DH552" s="59">
        <v>0</v>
      </c>
      <c r="DI552" s="59">
        <v>0</v>
      </c>
      <c r="DJ552" s="59">
        <v>0</v>
      </c>
      <c r="DK552" s="59"/>
      <c r="DL552" s="59"/>
      <c r="DM552" s="59">
        <v>2</v>
      </c>
      <c r="DN552" s="59">
        <v>0</v>
      </c>
      <c r="DO552" s="59">
        <v>0</v>
      </c>
      <c r="DP552" s="59"/>
      <c r="DQ552" s="59"/>
      <c r="DR552" s="59"/>
      <c r="DS552" s="59">
        <v>0</v>
      </c>
      <c r="DT552" s="59">
        <v>0</v>
      </c>
      <c r="DU552" s="59">
        <v>0</v>
      </c>
      <c r="DV552" s="38">
        <f t="shared" si="252"/>
        <v>18</v>
      </c>
      <c r="DW552" s="14" t="str">
        <f t="shared" si="253"/>
        <v/>
      </c>
      <c r="DY552">
        <f t="shared" si="255"/>
        <v>18</v>
      </c>
      <c r="DZ552" t="str">
        <f t="shared" si="256"/>
        <v/>
      </c>
    </row>
    <row r="553" spans="1:130" customFormat="1">
      <c r="A553" s="210">
        <v>38822</v>
      </c>
      <c r="B553" s="211"/>
      <c r="C553" s="61">
        <v>1</v>
      </c>
      <c r="D553" s="59">
        <v>17</v>
      </c>
      <c r="E553" s="59">
        <v>0</v>
      </c>
      <c r="F553" s="59">
        <v>0</v>
      </c>
      <c r="G553" s="59">
        <v>2</v>
      </c>
      <c r="H553" s="59">
        <v>3</v>
      </c>
      <c r="I553" s="59">
        <v>0</v>
      </c>
      <c r="J553" s="59">
        <v>19</v>
      </c>
      <c r="K553" s="59">
        <v>0</v>
      </c>
      <c r="L553" s="59">
        <v>0</v>
      </c>
      <c r="M553" s="59">
        <v>0</v>
      </c>
      <c r="N553" s="59">
        <v>0</v>
      </c>
      <c r="O553" s="59">
        <v>5</v>
      </c>
      <c r="P553" s="59">
        <v>0</v>
      </c>
      <c r="Q553" s="59">
        <v>1</v>
      </c>
      <c r="R553" s="59">
        <v>0</v>
      </c>
      <c r="S553" s="35">
        <f t="shared" si="254"/>
        <v>48</v>
      </c>
      <c r="T553" s="59"/>
      <c r="U553" s="59">
        <v>8</v>
      </c>
      <c r="V553" s="59">
        <v>5</v>
      </c>
      <c r="W553" s="59">
        <v>0</v>
      </c>
      <c r="X553" s="62">
        <v>0</v>
      </c>
      <c r="Y553" s="10"/>
      <c r="Z553" s="61">
        <v>1741682</v>
      </c>
      <c r="AA553" s="59"/>
      <c r="AB553" s="59"/>
      <c r="AC553" s="61">
        <v>458824</v>
      </c>
      <c r="AD553" s="59"/>
      <c r="AE553" s="35">
        <f t="shared" si="251"/>
        <v>458824</v>
      </c>
      <c r="AF553" s="10"/>
      <c r="AG553" s="61">
        <v>71</v>
      </c>
      <c r="AH553" s="59">
        <v>31</v>
      </c>
      <c r="AI553" s="59">
        <v>118</v>
      </c>
      <c r="AJ553" s="62"/>
      <c r="AK553" s="10"/>
      <c r="AL553" s="8"/>
      <c r="AM553" s="10"/>
      <c r="AN553" s="35"/>
      <c r="AO553" s="279"/>
      <c r="AP553" s="279"/>
      <c r="AQ553" s="281"/>
      <c r="AR553" s="59">
        <v>144</v>
      </c>
      <c r="AS553" s="59"/>
      <c r="AT553" s="59"/>
      <c r="AU553" s="59"/>
      <c r="AV553" s="62"/>
      <c r="AW553" s="10"/>
      <c r="AX553" s="326">
        <v>38821</v>
      </c>
      <c r="AY553" s="5">
        <v>-1</v>
      </c>
      <c r="AZ553" s="10"/>
      <c r="BA553" s="61"/>
      <c r="BB553" s="59"/>
      <c r="BC553" s="59"/>
      <c r="BD553" s="59"/>
      <c r="BE553" s="59"/>
      <c r="BF553" s="59"/>
      <c r="BG553" s="59"/>
      <c r="BH553" s="351"/>
      <c r="BI553" s="59"/>
      <c r="BJ553" s="342"/>
      <c r="BK553" s="342"/>
      <c r="BL553" s="320"/>
      <c r="BM553" s="62"/>
      <c r="BN553" s="10"/>
      <c r="BO553" s="8"/>
      <c r="BP553" s="62"/>
      <c r="BQ553" s="10"/>
      <c r="BR553" s="29">
        <v>2006</v>
      </c>
      <c r="BS553" s="64">
        <v>2006</v>
      </c>
      <c r="BT553" s="14">
        <v>8</v>
      </c>
      <c r="BU553" s="10"/>
      <c r="BV553" s="8">
        <v>1</v>
      </c>
      <c r="BW553" s="59">
        <v>7</v>
      </c>
      <c r="BX553" s="59">
        <v>0</v>
      </c>
      <c r="BY553" s="59"/>
      <c r="BZ553" s="59"/>
      <c r="CA553" s="59"/>
      <c r="CB553" s="59"/>
      <c r="CC553" s="221"/>
      <c r="CD553" s="59">
        <v>2</v>
      </c>
      <c r="CE553" s="59">
        <v>0</v>
      </c>
      <c r="CF553" s="317">
        <v>0</v>
      </c>
      <c r="CG553" s="59">
        <v>2</v>
      </c>
      <c r="CH553" s="59"/>
      <c r="CI553" s="59">
        <v>3</v>
      </c>
      <c r="CJ553" s="59">
        <v>1</v>
      </c>
      <c r="CK553" s="59"/>
      <c r="CL553" s="59"/>
      <c r="CM553" s="59">
        <v>0</v>
      </c>
      <c r="CN553" s="59"/>
      <c r="CO553" s="59">
        <v>6</v>
      </c>
      <c r="CP553" s="317"/>
      <c r="CQ553" s="59"/>
      <c r="CR553" s="59"/>
      <c r="CS553" s="59">
        <v>2</v>
      </c>
      <c r="CT553" s="59">
        <v>0</v>
      </c>
      <c r="CU553" s="59">
        <v>0</v>
      </c>
      <c r="CV553" s="59">
        <v>7</v>
      </c>
      <c r="CW553" s="59"/>
      <c r="CX553" s="59"/>
      <c r="CY553" s="59">
        <v>1</v>
      </c>
      <c r="CZ553" s="59"/>
      <c r="DA553" s="59"/>
      <c r="DB553" s="59">
        <v>0</v>
      </c>
      <c r="DC553" s="59"/>
      <c r="DD553" s="59"/>
      <c r="DE553" s="59"/>
      <c r="DF553" s="59"/>
      <c r="DG553" s="59">
        <v>12</v>
      </c>
      <c r="DH553" s="59">
        <v>0</v>
      </c>
      <c r="DI553" s="59">
        <v>0</v>
      </c>
      <c r="DJ553" s="59">
        <v>2</v>
      </c>
      <c r="DK553" s="59"/>
      <c r="DL553" s="59"/>
      <c r="DM553" s="59">
        <v>0</v>
      </c>
      <c r="DN553" s="59">
        <v>0</v>
      </c>
      <c r="DO553" s="59">
        <v>1</v>
      </c>
      <c r="DP553" s="59"/>
      <c r="DQ553" s="59"/>
      <c r="DR553" s="59"/>
      <c r="DS553" s="59">
        <v>1</v>
      </c>
      <c r="DT553" s="59">
        <v>0</v>
      </c>
      <c r="DU553" s="59">
        <v>0</v>
      </c>
      <c r="DV553" s="38">
        <f t="shared" si="252"/>
        <v>48</v>
      </c>
      <c r="DW553" s="14" t="str">
        <f t="shared" si="253"/>
        <v/>
      </c>
      <c r="DY553">
        <f t="shared" si="255"/>
        <v>48</v>
      </c>
      <c r="DZ553" t="str">
        <f t="shared" si="256"/>
        <v/>
      </c>
    </row>
    <row r="554" spans="1:130" customFormat="1">
      <c r="A554" s="210">
        <v>38838</v>
      </c>
      <c r="B554" s="211"/>
      <c r="C554" s="61">
        <v>2</v>
      </c>
      <c r="D554" s="59">
        <v>14</v>
      </c>
      <c r="E554" s="59">
        <v>0</v>
      </c>
      <c r="F554" s="59">
        <v>0</v>
      </c>
      <c r="G554" s="59">
        <v>1</v>
      </c>
      <c r="H554" s="59">
        <v>0</v>
      </c>
      <c r="I554" s="59">
        <v>0</v>
      </c>
      <c r="J554" s="59">
        <v>6</v>
      </c>
      <c r="K554" s="59">
        <v>0</v>
      </c>
      <c r="L554" s="59">
        <v>0</v>
      </c>
      <c r="M554" s="59">
        <v>0</v>
      </c>
      <c r="N554" s="59">
        <v>0</v>
      </c>
      <c r="O554" s="59">
        <v>1</v>
      </c>
      <c r="P554" s="59">
        <v>0</v>
      </c>
      <c r="Q554" s="59">
        <v>0</v>
      </c>
      <c r="R554" s="59">
        <v>0</v>
      </c>
      <c r="S554" s="35">
        <f t="shared" si="254"/>
        <v>24</v>
      </c>
      <c r="T554" s="59"/>
      <c r="U554" s="59">
        <v>19</v>
      </c>
      <c r="V554" s="59">
        <v>14</v>
      </c>
      <c r="W554" s="59">
        <v>0</v>
      </c>
      <c r="X554" s="62">
        <v>0</v>
      </c>
      <c r="Y554" s="10"/>
      <c r="Z554" s="61">
        <v>1331712</v>
      </c>
      <c r="AA554" s="59"/>
      <c r="AB554" s="59"/>
      <c r="AC554" s="61">
        <v>219127</v>
      </c>
      <c r="AD554" s="59"/>
      <c r="AE554" s="35">
        <f t="shared" si="251"/>
        <v>219127</v>
      </c>
      <c r="AF554" s="10"/>
      <c r="AG554" s="61">
        <v>39</v>
      </c>
      <c r="AH554" s="59">
        <v>34</v>
      </c>
      <c r="AI554" s="59">
        <v>84</v>
      </c>
      <c r="AJ554" s="62"/>
      <c r="AK554" s="10"/>
      <c r="AL554" s="8"/>
      <c r="AM554" s="10"/>
      <c r="AN554" s="35"/>
      <c r="AO554" s="279"/>
      <c r="AP554" s="279"/>
      <c r="AQ554" s="281"/>
      <c r="AR554" s="59">
        <v>144</v>
      </c>
      <c r="AS554" s="59">
        <v>54</v>
      </c>
      <c r="AT554" s="59">
        <v>94</v>
      </c>
      <c r="AU554" s="59">
        <v>19</v>
      </c>
      <c r="AV554" s="62">
        <v>189</v>
      </c>
      <c r="AW554" s="10"/>
      <c r="AX554" s="326">
        <v>38836</v>
      </c>
      <c r="AY554" s="5">
        <v>-2</v>
      </c>
      <c r="AZ554" s="10"/>
      <c r="BA554" s="61">
        <v>1822</v>
      </c>
      <c r="BB554" s="59">
        <v>41273404</v>
      </c>
      <c r="BC554" s="59"/>
      <c r="BD554" s="59"/>
      <c r="BE554" s="59">
        <v>55</v>
      </c>
      <c r="BF554" s="59">
        <v>3</v>
      </c>
      <c r="BG554" s="59">
        <v>1</v>
      </c>
      <c r="BH554" s="351"/>
      <c r="BI554" s="59">
        <v>1221327</v>
      </c>
      <c r="BJ554" s="342">
        <v>38847</v>
      </c>
      <c r="BK554" s="342">
        <v>38845</v>
      </c>
      <c r="BL554" s="320">
        <f>BK554-BJ554</f>
        <v>-2</v>
      </c>
      <c r="BM554" s="62"/>
      <c r="BN554" s="10"/>
      <c r="BO554" s="8"/>
      <c r="BP554" s="5">
        <v>159</v>
      </c>
      <c r="BQ554" s="10"/>
      <c r="BR554" s="29">
        <v>2006</v>
      </c>
      <c r="BS554" s="64">
        <v>2006</v>
      </c>
      <c r="BT554" s="14">
        <v>9</v>
      </c>
      <c r="BU554" s="10"/>
      <c r="BV554" s="8">
        <v>3</v>
      </c>
      <c r="BW554" s="59">
        <v>0</v>
      </c>
      <c r="BX554" s="59">
        <v>0</v>
      </c>
      <c r="BY554" s="59"/>
      <c r="BZ554" s="59"/>
      <c r="CA554" s="59"/>
      <c r="CB554" s="59"/>
      <c r="CC554" s="221"/>
      <c r="CD554" s="59">
        <v>6</v>
      </c>
      <c r="CE554" s="59">
        <v>0</v>
      </c>
      <c r="CF554" s="317">
        <v>0</v>
      </c>
      <c r="CG554" s="59">
        <v>0</v>
      </c>
      <c r="CH554" s="59"/>
      <c r="CI554" s="59">
        <v>0</v>
      </c>
      <c r="CJ554" s="59">
        <v>2</v>
      </c>
      <c r="CK554" s="59"/>
      <c r="CL554" s="59"/>
      <c r="CM554" s="59">
        <v>0</v>
      </c>
      <c r="CN554" s="59"/>
      <c r="CO554" s="59">
        <v>2</v>
      </c>
      <c r="CP554" s="317"/>
      <c r="CQ554" s="59"/>
      <c r="CR554" s="59"/>
      <c r="CS554" s="59">
        <v>0</v>
      </c>
      <c r="CT554" s="59">
        <v>5</v>
      </c>
      <c r="CU554" s="59">
        <v>0</v>
      </c>
      <c r="CV554" s="59">
        <v>0</v>
      </c>
      <c r="CW554" s="59"/>
      <c r="CX554" s="59"/>
      <c r="CY554" s="59">
        <v>0</v>
      </c>
      <c r="CZ554" s="59"/>
      <c r="DA554" s="59"/>
      <c r="DB554" s="59">
        <v>0</v>
      </c>
      <c r="DC554" s="59"/>
      <c r="DD554" s="59"/>
      <c r="DE554" s="59"/>
      <c r="DF554" s="59"/>
      <c r="DG554" s="59">
        <v>0</v>
      </c>
      <c r="DH554" s="59">
        <v>1</v>
      </c>
      <c r="DI554" s="59">
        <v>0</v>
      </c>
      <c r="DJ554" s="59">
        <v>0</v>
      </c>
      <c r="DK554" s="59"/>
      <c r="DL554" s="59"/>
      <c r="DM554" s="59">
        <v>0</v>
      </c>
      <c r="DN554" s="59">
        <v>0</v>
      </c>
      <c r="DO554" s="59">
        <v>2</v>
      </c>
      <c r="DP554" s="59"/>
      <c r="DQ554" s="59"/>
      <c r="DR554" s="59"/>
      <c r="DS554" s="59">
        <v>1</v>
      </c>
      <c r="DT554" s="59">
        <v>2</v>
      </c>
      <c r="DU554" s="59">
        <v>0</v>
      </c>
      <c r="DV554" s="38">
        <f t="shared" si="252"/>
        <v>24</v>
      </c>
      <c r="DW554" s="14" t="str">
        <f t="shared" si="253"/>
        <v/>
      </c>
      <c r="DY554">
        <f t="shared" si="255"/>
        <v>24</v>
      </c>
      <c r="DZ554" t="str">
        <f t="shared" si="256"/>
        <v/>
      </c>
    </row>
    <row r="555" spans="1:130" customFormat="1">
      <c r="A555" s="210">
        <v>38852</v>
      </c>
      <c r="B555" s="211"/>
      <c r="C555" s="61">
        <v>3</v>
      </c>
      <c r="D555" s="59">
        <v>31</v>
      </c>
      <c r="E555" s="59">
        <v>0</v>
      </c>
      <c r="F555" s="59">
        <v>1</v>
      </c>
      <c r="G555" s="59">
        <v>0</v>
      </c>
      <c r="H555" s="59">
        <v>0</v>
      </c>
      <c r="I555" s="59">
        <v>0</v>
      </c>
      <c r="J555" s="59">
        <v>31</v>
      </c>
      <c r="K555" s="59">
        <v>0</v>
      </c>
      <c r="L555" s="59">
        <v>1</v>
      </c>
      <c r="M555" s="59">
        <v>0</v>
      </c>
      <c r="N555" s="59">
        <v>0</v>
      </c>
      <c r="O555" s="59">
        <v>16</v>
      </c>
      <c r="P555" s="59">
        <v>1</v>
      </c>
      <c r="Q555" s="59">
        <v>0</v>
      </c>
      <c r="R555" s="59">
        <v>0</v>
      </c>
      <c r="S555" s="35">
        <f t="shared" si="254"/>
        <v>84</v>
      </c>
      <c r="T555" s="59"/>
      <c r="U555" s="59">
        <v>29</v>
      </c>
      <c r="V555" s="59">
        <v>28</v>
      </c>
      <c r="W555" s="59">
        <v>0</v>
      </c>
      <c r="X555" s="62">
        <v>0</v>
      </c>
      <c r="Y555" s="10"/>
      <c r="Z555" s="61">
        <v>1950720</v>
      </c>
      <c r="AA555" s="59"/>
      <c r="AB555" s="59"/>
      <c r="AC555" s="61">
        <v>653978</v>
      </c>
      <c r="AD555" s="59"/>
      <c r="AE555" s="35">
        <f t="shared" si="251"/>
        <v>653978</v>
      </c>
      <c r="AF555" s="10"/>
      <c r="AG555" s="61">
        <v>100</v>
      </c>
      <c r="AH555" s="59">
        <v>37</v>
      </c>
      <c r="AI555" s="59">
        <v>146</v>
      </c>
      <c r="AJ555" s="62"/>
      <c r="AK555" s="10"/>
      <c r="AL555" s="8"/>
      <c r="AM555" s="10"/>
      <c r="AN555" s="35"/>
      <c r="AO555" s="279"/>
      <c r="AP555" s="279"/>
      <c r="AQ555" s="281"/>
      <c r="AR555" s="59">
        <v>144</v>
      </c>
      <c r="AS555" s="59">
        <v>53</v>
      </c>
      <c r="AT555" s="59">
        <v>92</v>
      </c>
      <c r="AU555" s="59">
        <v>19</v>
      </c>
      <c r="AV555" s="62">
        <v>194</v>
      </c>
      <c r="AW555" s="10"/>
      <c r="AX555" s="326">
        <v>38852</v>
      </c>
      <c r="AY555" s="5">
        <v>0</v>
      </c>
      <c r="AZ555" s="10"/>
      <c r="BA555" s="8"/>
      <c r="BB555" s="10"/>
      <c r="BC555" s="10"/>
      <c r="BD555" s="10"/>
      <c r="BE555" s="10"/>
      <c r="BF555" s="10"/>
      <c r="BG555" s="10"/>
      <c r="BH555" s="30"/>
      <c r="BI555" s="10"/>
      <c r="BJ555" s="338"/>
      <c r="BK555" s="338"/>
      <c r="BL555" s="320"/>
      <c r="BM555" s="5"/>
      <c r="BN555" s="10"/>
      <c r="BO555" s="8"/>
      <c r="BP555" s="5"/>
      <c r="BQ555" s="10"/>
      <c r="BR555" s="29">
        <v>2006</v>
      </c>
      <c r="BS555" s="64">
        <v>2006</v>
      </c>
      <c r="BT555" s="14">
        <v>10</v>
      </c>
      <c r="BU555" s="10"/>
      <c r="BV555" s="8">
        <v>2</v>
      </c>
      <c r="BW555" s="59">
        <v>0</v>
      </c>
      <c r="BX555" s="59">
        <v>0</v>
      </c>
      <c r="BY555" s="59"/>
      <c r="BZ555" s="59"/>
      <c r="CA555" s="59"/>
      <c r="CB555" s="59"/>
      <c r="CC555" s="221"/>
      <c r="CD555" s="59">
        <v>10</v>
      </c>
      <c r="CE555" s="59">
        <v>1</v>
      </c>
      <c r="CF555" s="317">
        <v>0</v>
      </c>
      <c r="CG555" s="59">
        <v>0</v>
      </c>
      <c r="CH555" s="59"/>
      <c r="CI555" s="59">
        <v>2</v>
      </c>
      <c r="CJ555" s="59">
        <v>0</v>
      </c>
      <c r="CK555" s="59"/>
      <c r="CL555" s="59"/>
      <c r="CM555" s="59">
        <v>0</v>
      </c>
      <c r="CN555" s="59"/>
      <c r="CO555" s="59">
        <v>5</v>
      </c>
      <c r="CP555" s="317"/>
      <c r="CQ555" s="59"/>
      <c r="CR555" s="59"/>
      <c r="CS555" s="59">
        <v>12</v>
      </c>
      <c r="CT555" s="59">
        <v>3</v>
      </c>
      <c r="CU555" s="59">
        <v>0</v>
      </c>
      <c r="CV555" s="59">
        <v>2</v>
      </c>
      <c r="CW555" s="59"/>
      <c r="CX555" s="59"/>
      <c r="CY555" s="59">
        <v>0</v>
      </c>
      <c r="CZ555" s="59"/>
      <c r="DA555" s="59"/>
      <c r="DB555" s="59">
        <v>39</v>
      </c>
      <c r="DC555" s="59"/>
      <c r="DD555" s="59"/>
      <c r="DE555" s="59"/>
      <c r="DF555" s="59"/>
      <c r="DG555" s="59">
        <v>0</v>
      </c>
      <c r="DH555" s="59">
        <v>0</v>
      </c>
      <c r="DI555" s="59">
        <v>1</v>
      </c>
      <c r="DJ555" s="59">
        <v>0</v>
      </c>
      <c r="DK555" s="59"/>
      <c r="DL555" s="59"/>
      <c r="DM555" s="59">
        <v>0</v>
      </c>
      <c r="DN555" s="59">
        <v>0</v>
      </c>
      <c r="DO555" s="59">
        <v>3</v>
      </c>
      <c r="DP555" s="59"/>
      <c r="DQ555" s="59"/>
      <c r="DR555" s="59"/>
      <c r="DS555" s="59">
        <v>2</v>
      </c>
      <c r="DT555" s="59">
        <v>2</v>
      </c>
      <c r="DU555" s="59">
        <v>0</v>
      </c>
      <c r="DV555" s="38">
        <f t="shared" si="252"/>
        <v>84</v>
      </c>
      <c r="DW555" s="14" t="str">
        <f t="shared" si="253"/>
        <v/>
      </c>
      <c r="DY555">
        <f t="shared" si="255"/>
        <v>84</v>
      </c>
      <c r="DZ555" t="str">
        <f t="shared" si="256"/>
        <v/>
      </c>
    </row>
    <row r="556" spans="1:130" customFormat="1">
      <c r="A556" s="210">
        <v>38869</v>
      </c>
      <c r="B556" s="211"/>
      <c r="C556" s="8">
        <v>1</v>
      </c>
      <c r="D556" s="59">
        <v>12</v>
      </c>
      <c r="E556" s="59">
        <v>0</v>
      </c>
      <c r="F556" s="59">
        <v>2</v>
      </c>
      <c r="G556" s="59">
        <v>2</v>
      </c>
      <c r="H556" s="59">
        <v>2</v>
      </c>
      <c r="I556" s="59">
        <v>0</v>
      </c>
      <c r="J556" s="59">
        <v>14</v>
      </c>
      <c r="K556" s="59">
        <v>0</v>
      </c>
      <c r="L556" s="59">
        <v>0</v>
      </c>
      <c r="M556" s="59">
        <v>0</v>
      </c>
      <c r="N556" s="59">
        <v>0</v>
      </c>
      <c r="O556" s="59">
        <v>2</v>
      </c>
      <c r="P556" s="59">
        <v>1</v>
      </c>
      <c r="Q556" s="59">
        <v>0</v>
      </c>
      <c r="R556" s="59">
        <v>0</v>
      </c>
      <c r="S556" s="35">
        <f t="shared" si="254"/>
        <v>36</v>
      </c>
      <c r="T556" s="59"/>
      <c r="U556" s="59">
        <v>25</v>
      </c>
      <c r="V556" s="59">
        <v>18</v>
      </c>
      <c r="W556" s="59">
        <v>0</v>
      </c>
      <c r="X556" s="62">
        <v>1</v>
      </c>
      <c r="Y556" s="10"/>
      <c r="Z556" s="61">
        <v>1990144</v>
      </c>
      <c r="AA556" s="59"/>
      <c r="AB556" s="59"/>
      <c r="AC556" s="61">
        <v>511886</v>
      </c>
      <c r="AD556" s="59"/>
      <c r="AE556" s="35">
        <f t="shared" si="251"/>
        <v>511886</v>
      </c>
      <c r="AF556" s="10"/>
      <c r="AG556" s="8">
        <v>74</v>
      </c>
      <c r="AH556" s="59">
        <v>40</v>
      </c>
      <c r="AI556" s="59">
        <v>148</v>
      </c>
      <c r="AJ556" s="5"/>
      <c r="AK556" s="10"/>
      <c r="AL556" s="8"/>
      <c r="AM556" s="10"/>
      <c r="AN556" s="35"/>
      <c r="AO556" s="279"/>
      <c r="AP556" s="279"/>
      <c r="AQ556" s="281"/>
      <c r="AR556" s="59">
        <v>144</v>
      </c>
      <c r="AS556" s="59">
        <v>52</v>
      </c>
      <c r="AT556" s="59">
        <v>94</v>
      </c>
      <c r="AU556" s="59">
        <v>20</v>
      </c>
      <c r="AV556" s="62">
        <v>195</v>
      </c>
      <c r="AW556" s="10"/>
      <c r="AX556" s="326">
        <v>38866</v>
      </c>
      <c r="AY556" s="5">
        <v>-3</v>
      </c>
      <c r="AZ556" s="10"/>
      <c r="BA556" s="8">
        <v>1824</v>
      </c>
      <c r="BB556" s="356">
        <v>41970058</v>
      </c>
      <c r="BC556" s="356"/>
      <c r="BD556" s="356"/>
      <c r="BE556" s="356">
        <v>68</v>
      </c>
      <c r="BF556" s="356">
        <v>2</v>
      </c>
      <c r="BG556" s="10">
        <v>0</v>
      </c>
      <c r="BH556" s="5"/>
      <c r="BI556" s="356">
        <v>2650146</v>
      </c>
      <c r="BJ556" s="338">
        <v>38878</v>
      </c>
      <c r="BK556" s="342">
        <v>38885</v>
      </c>
      <c r="BL556" s="320">
        <f>BK556-BJ556</f>
        <v>7</v>
      </c>
      <c r="BM556" s="5"/>
      <c r="BN556" s="10"/>
      <c r="BO556" s="8"/>
      <c r="BP556" s="5">
        <v>159</v>
      </c>
      <c r="BQ556" s="10"/>
      <c r="BR556" s="29">
        <v>2006</v>
      </c>
      <c r="BS556" s="64">
        <v>2006</v>
      </c>
      <c r="BT556" s="14">
        <v>11</v>
      </c>
      <c r="BU556" s="10"/>
      <c r="BV556" s="8">
        <v>0</v>
      </c>
      <c r="BW556" s="59">
        <v>1</v>
      </c>
      <c r="BX556" s="59">
        <v>1</v>
      </c>
      <c r="BY556" s="59"/>
      <c r="BZ556" s="59"/>
      <c r="CA556" s="59"/>
      <c r="CB556" s="59"/>
      <c r="CC556" s="221"/>
      <c r="CD556" s="59">
        <v>2</v>
      </c>
      <c r="CE556" s="59">
        <v>0</v>
      </c>
      <c r="CF556" s="317">
        <v>0</v>
      </c>
      <c r="CG556" s="59">
        <v>5</v>
      </c>
      <c r="CH556" s="59"/>
      <c r="CI556" s="59">
        <v>3</v>
      </c>
      <c r="CJ556" s="59">
        <v>1</v>
      </c>
      <c r="CK556" s="59"/>
      <c r="CL556" s="59"/>
      <c r="CM556" s="59">
        <v>0</v>
      </c>
      <c r="CN556" s="59"/>
      <c r="CO556" s="59">
        <v>3</v>
      </c>
      <c r="CP556" s="317"/>
      <c r="CQ556" s="59"/>
      <c r="CR556" s="59"/>
      <c r="CS556" s="59">
        <v>0</v>
      </c>
      <c r="CT556" s="59">
        <v>3</v>
      </c>
      <c r="CU556" s="59">
        <v>0</v>
      </c>
      <c r="CV556" s="59">
        <v>3</v>
      </c>
      <c r="CW556" s="59"/>
      <c r="CX556" s="59"/>
      <c r="CY556" s="59">
        <v>3</v>
      </c>
      <c r="CZ556" s="59"/>
      <c r="DA556" s="59"/>
      <c r="DB556" s="59">
        <v>5</v>
      </c>
      <c r="DC556" s="59"/>
      <c r="DD556" s="59"/>
      <c r="DE556" s="59"/>
      <c r="DF556" s="59"/>
      <c r="DG556" s="59">
        <v>0</v>
      </c>
      <c r="DH556" s="59">
        <v>0</v>
      </c>
      <c r="DI556" s="59">
        <v>0</v>
      </c>
      <c r="DJ556" s="59">
        <v>0</v>
      </c>
      <c r="DK556" s="59"/>
      <c r="DL556" s="59"/>
      <c r="DM556" s="59">
        <v>1</v>
      </c>
      <c r="DN556" s="59">
        <v>0</v>
      </c>
      <c r="DO556" s="59">
        <v>0</v>
      </c>
      <c r="DP556" s="59"/>
      <c r="DQ556" s="59"/>
      <c r="DR556" s="59"/>
      <c r="DS556" s="59">
        <v>2</v>
      </c>
      <c r="DT556" s="59">
        <v>3</v>
      </c>
      <c r="DU556" s="59">
        <v>0</v>
      </c>
      <c r="DV556" s="38">
        <f t="shared" si="252"/>
        <v>36</v>
      </c>
      <c r="DW556" s="14" t="str">
        <f t="shared" si="253"/>
        <v/>
      </c>
      <c r="DY556">
        <f t="shared" si="255"/>
        <v>36</v>
      </c>
      <c r="DZ556" t="str">
        <f t="shared" si="256"/>
        <v/>
      </c>
    </row>
    <row r="557" spans="1:130" customFormat="1">
      <c r="A557" s="210">
        <v>38883</v>
      </c>
      <c r="B557" s="211"/>
      <c r="C557" s="8">
        <v>6</v>
      </c>
      <c r="D557" s="59">
        <v>22</v>
      </c>
      <c r="E557" s="59">
        <v>0</v>
      </c>
      <c r="F557" s="59">
        <v>1</v>
      </c>
      <c r="G557" s="59">
        <v>1</v>
      </c>
      <c r="H557" s="59">
        <v>0</v>
      </c>
      <c r="I557" s="59">
        <v>0</v>
      </c>
      <c r="J557" s="59">
        <v>5</v>
      </c>
      <c r="K557" s="59">
        <v>0</v>
      </c>
      <c r="L557" s="59">
        <v>0</v>
      </c>
      <c r="M557" s="59">
        <v>0</v>
      </c>
      <c r="N557" s="59">
        <v>0</v>
      </c>
      <c r="O557" s="59">
        <v>1</v>
      </c>
      <c r="P557" s="59">
        <v>0</v>
      </c>
      <c r="Q557" s="59">
        <v>0</v>
      </c>
      <c r="R557" s="59">
        <v>3</v>
      </c>
      <c r="S557" s="35">
        <f>SUM(C557:R557)</f>
        <v>39</v>
      </c>
      <c r="T557" s="59"/>
      <c r="U557" s="59">
        <v>13</v>
      </c>
      <c r="V557" s="59">
        <v>12</v>
      </c>
      <c r="W557" s="59">
        <v>0</v>
      </c>
      <c r="X557" s="5">
        <v>0</v>
      </c>
      <c r="Y557" s="10"/>
      <c r="Z557" s="61">
        <v>1992704</v>
      </c>
      <c r="AA557" s="59"/>
      <c r="AB557" s="59"/>
      <c r="AC557" s="61">
        <v>503920</v>
      </c>
      <c r="AD557" s="59"/>
      <c r="AE557" s="35">
        <f t="shared" si="251"/>
        <v>503920</v>
      </c>
      <c r="AF557" s="10"/>
      <c r="AG557" s="8">
        <v>85</v>
      </c>
      <c r="AH557" s="59">
        <v>43</v>
      </c>
      <c r="AI557" s="59">
        <v>140</v>
      </c>
      <c r="AJ557" s="5"/>
      <c r="AK557" s="10"/>
      <c r="AL557" s="8"/>
      <c r="AM557" s="10"/>
      <c r="AN557" s="35"/>
      <c r="AO557" s="279"/>
      <c r="AP557" s="279"/>
      <c r="AQ557" s="281"/>
      <c r="AR557" s="59"/>
      <c r="AS557" s="59">
        <v>53</v>
      </c>
      <c r="AT557" s="59">
        <v>93</v>
      </c>
      <c r="AU557" s="59">
        <v>20</v>
      </c>
      <c r="AV557" s="62">
        <v>198</v>
      </c>
      <c r="AW557" s="10"/>
      <c r="AX557" s="326">
        <v>38882</v>
      </c>
      <c r="AY557" s="5">
        <v>-1</v>
      </c>
      <c r="AZ557" s="10"/>
      <c r="BA557" s="8"/>
      <c r="BB557" s="10"/>
      <c r="BC557" s="10"/>
      <c r="BD557" s="10"/>
      <c r="BE557" s="10"/>
      <c r="BF557" s="10"/>
      <c r="BG557" s="10"/>
      <c r="BH557" s="30"/>
      <c r="BI557" s="10"/>
      <c r="BJ557" s="338"/>
      <c r="BK557" s="338"/>
      <c r="BL557" s="320"/>
      <c r="BM557" s="5"/>
      <c r="BN557" s="10"/>
      <c r="BO557" s="8"/>
      <c r="BP557" s="5"/>
      <c r="BQ557" s="10"/>
      <c r="BR557" s="29">
        <v>2006</v>
      </c>
      <c r="BS557" s="64">
        <v>2006</v>
      </c>
      <c r="BT557" s="14">
        <v>12</v>
      </c>
      <c r="BU557" s="10"/>
      <c r="BV557" s="8">
        <v>1</v>
      </c>
      <c r="BW557" s="59">
        <v>1</v>
      </c>
      <c r="BX557" s="59">
        <v>0</v>
      </c>
      <c r="BY557" s="59"/>
      <c r="BZ557" s="59"/>
      <c r="CA557" s="59"/>
      <c r="CB557" s="59"/>
      <c r="CC557" s="221"/>
      <c r="CD557" s="59">
        <v>5</v>
      </c>
      <c r="CE557" s="59">
        <v>1</v>
      </c>
      <c r="CF557" s="317">
        <v>0</v>
      </c>
      <c r="CG557" s="59">
        <v>0</v>
      </c>
      <c r="CH557" s="59"/>
      <c r="CI557" s="59">
        <v>0</v>
      </c>
      <c r="CJ557" s="59">
        <v>0</v>
      </c>
      <c r="CK557" s="59"/>
      <c r="CL557" s="59"/>
      <c r="CM557" s="59">
        <v>0</v>
      </c>
      <c r="CN557" s="59"/>
      <c r="CO557" s="59">
        <v>3</v>
      </c>
      <c r="CP557" s="317"/>
      <c r="CQ557" s="59"/>
      <c r="CR557" s="59"/>
      <c r="CS557" s="59">
        <v>0</v>
      </c>
      <c r="CT557" s="59">
        <v>4</v>
      </c>
      <c r="CU557" s="59">
        <v>0</v>
      </c>
      <c r="CV557" s="59">
        <v>2</v>
      </c>
      <c r="CW557" s="59"/>
      <c r="CX557" s="59"/>
      <c r="CY557" s="59">
        <v>0</v>
      </c>
      <c r="CZ557" s="59"/>
      <c r="DA557" s="59"/>
      <c r="DB557" s="59">
        <v>3</v>
      </c>
      <c r="DC557" s="59"/>
      <c r="DD557" s="59"/>
      <c r="DE557" s="59"/>
      <c r="DF557" s="59"/>
      <c r="DG557" s="59">
        <v>0</v>
      </c>
      <c r="DH557" s="59">
        <v>2</v>
      </c>
      <c r="DI557" s="59">
        <v>0</v>
      </c>
      <c r="DJ557" s="59">
        <v>0</v>
      </c>
      <c r="DK557" s="59"/>
      <c r="DL557" s="59"/>
      <c r="DM557" s="59">
        <v>0</v>
      </c>
      <c r="DN557" s="59">
        <v>2</v>
      </c>
      <c r="DO557" s="59">
        <v>2</v>
      </c>
      <c r="DP557" s="59"/>
      <c r="DQ557" s="59"/>
      <c r="DR557" s="59"/>
      <c r="DS557" s="59">
        <v>10</v>
      </c>
      <c r="DT557" s="59">
        <v>0</v>
      </c>
      <c r="DU557" s="59">
        <v>3</v>
      </c>
      <c r="DV557" s="38">
        <f t="shared" si="252"/>
        <v>39</v>
      </c>
      <c r="DW557" s="14" t="str">
        <f t="shared" si="253"/>
        <v/>
      </c>
      <c r="DY557">
        <f t="shared" si="255"/>
        <v>39</v>
      </c>
      <c r="DZ557" t="str">
        <f t="shared" si="256"/>
        <v/>
      </c>
    </row>
    <row r="558" spans="1:130" s="6" customFormat="1" ht="12" thickBot="1">
      <c r="A558" s="212" t="s">
        <v>207</v>
      </c>
      <c r="B558" s="83"/>
      <c r="C558" s="52">
        <f t="shared" ref="C558:X558" si="257">SUM(C534:C557)</f>
        <v>44</v>
      </c>
      <c r="D558" s="53">
        <f t="shared" si="257"/>
        <v>305</v>
      </c>
      <c r="E558" s="53">
        <f t="shared" si="257"/>
        <v>16</v>
      </c>
      <c r="F558" s="53">
        <f t="shared" si="257"/>
        <v>13</v>
      </c>
      <c r="G558" s="53">
        <f t="shared" si="257"/>
        <v>47</v>
      </c>
      <c r="H558" s="53">
        <f t="shared" si="257"/>
        <v>10</v>
      </c>
      <c r="I558" s="53">
        <f>SUM(I534:I557)</f>
        <v>0</v>
      </c>
      <c r="J558" s="53">
        <f t="shared" si="257"/>
        <v>230</v>
      </c>
      <c r="K558" s="53">
        <f t="shared" si="257"/>
        <v>5</v>
      </c>
      <c r="L558" s="53">
        <f t="shared" si="257"/>
        <v>1</v>
      </c>
      <c r="M558" s="53">
        <f t="shared" ref="M558:O558" si="258">SUM(M534:M557)</f>
        <v>0</v>
      </c>
      <c r="N558" s="53">
        <f t="shared" si="258"/>
        <v>0</v>
      </c>
      <c r="O558" s="53">
        <f t="shared" si="258"/>
        <v>159</v>
      </c>
      <c r="P558" s="53">
        <f t="shared" si="257"/>
        <v>9</v>
      </c>
      <c r="Q558" s="53">
        <f t="shared" si="257"/>
        <v>2</v>
      </c>
      <c r="R558" s="53">
        <f t="shared" si="257"/>
        <v>6</v>
      </c>
      <c r="S558" s="55">
        <f t="shared" si="257"/>
        <v>847</v>
      </c>
      <c r="T558" s="53">
        <f t="shared" si="257"/>
        <v>0</v>
      </c>
      <c r="U558" s="53">
        <f t="shared" si="257"/>
        <v>346</v>
      </c>
      <c r="V558" s="53">
        <f t="shared" ref="V558" si="259">SUM(V534:V557)</f>
        <v>280</v>
      </c>
      <c r="W558" s="53">
        <f t="shared" si="257"/>
        <v>0</v>
      </c>
      <c r="X558" s="54">
        <f t="shared" si="257"/>
        <v>3</v>
      </c>
      <c r="Z558" s="52">
        <f>SUM(Z534:Z557)</f>
        <v>45028722</v>
      </c>
      <c r="AA558" s="53">
        <f>SUM(AA534:AA557)</f>
        <v>0</v>
      </c>
      <c r="AB558" s="53"/>
      <c r="AC558" s="52">
        <f>SUM(AC534:AC557)</f>
        <v>15361762</v>
      </c>
      <c r="AD558" s="53">
        <f>SUM(AD534:AD557)</f>
        <v>0</v>
      </c>
      <c r="AE558" s="55">
        <f>SUM(AE534:AE557)</f>
        <v>15361762</v>
      </c>
      <c r="AG558" s="52">
        <f>SUM(AG534:AG557)</f>
        <v>1403</v>
      </c>
      <c r="AH558" s="53">
        <f>SUM(AH534:AH557)</f>
        <v>1226</v>
      </c>
      <c r="AI558" s="53">
        <f>SUM(AI534:AI557)</f>
        <v>2936</v>
      </c>
      <c r="AJ558" s="54">
        <f>SUM(AJ534:AJ557)</f>
        <v>0</v>
      </c>
      <c r="AL558" s="52">
        <f t="shared" ref="AL558:AV558" si="260">SUM(AL534:AL557)</f>
        <v>0</v>
      </c>
      <c r="AM558" s="53">
        <f t="shared" si="260"/>
        <v>224</v>
      </c>
      <c r="AN558" s="55">
        <f t="shared" si="260"/>
        <v>224</v>
      </c>
      <c r="AO558" s="283"/>
      <c r="AP558" s="283"/>
      <c r="AQ558" s="284"/>
      <c r="AR558" s="53">
        <f t="shared" si="260"/>
        <v>3442</v>
      </c>
      <c r="AS558" s="53">
        <f t="shared" si="260"/>
        <v>1072</v>
      </c>
      <c r="AT558" s="53">
        <f t="shared" si="260"/>
        <v>1764</v>
      </c>
      <c r="AU558" s="53">
        <f t="shared" si="260"/>
        <v>425</v>
      </c>
      <c r="AV558" s="54">
        <f t="shared" si="260"/>
        <v>3850</v>
      </c>
      <c r="AX558" s="329"/>
      <c r="AY558" s="54"/>
      <c r="BA558" s="52">
        <f t="shared" ref="BA558:BM558" si="261">SUM(BA534:BA557)</f>
        <v>21763</v>
      </c>
      <c r="BB558" s="53">
        <f t="shared" si="261"/>
        <v>463435857</v>
      </c>
      <c r="BC558" s="53">
        <f t="shared" si="261"/>
        <v>0</v>
      </c>
      <c r="BD558" s="53"/>
      <c r="BE558" s="53">
        <f t="shared" si="261"/>
        <v>685</v>
      </c>
      <c r="BF558" s="53">
        <f t="shared" si="261"/>
        <v>43</v>
      </c>
      <c r="BG558" s="53">
        <f t="shared" si="261"/>
        <v>20</v>
      </c>
      <c r="BH558" s="55"/>
      <c r="BI558" s="53">
        <f t="shared" si="261"/>
        <v>27831474</v>
      </c>
      <c r="BJ558" s="339"/>
      <c r="BK558" s="339"/>
      <c r="BL558" s="304"/>
      <c r="BM558" s="54">
        <f t="shared" si="261"/>
        <v>0</v>
      </c>
      <c r="BO558" s="52">
        <f>SUM(BO534:BO557)</f>
        <v>0</v>
      </c>
      <c r="BP558" s="54">
        <f>SUM(BP534:BP557)</f>
        <v>1888</v>
      </c>
      <c r="BR558" s="81" t="s">
        <v>208</v>
      </c>
      <c r="BS558" s="80"/>
      <c r="BT558" s="82"/>
      <c r="BV558" s="52">
        <f>SUM(BV534:BV557)</f>
        <v>35</v>
      </c>
      <c r="BW558" s="53">
        <f>SUM(BW534:BW557)</f>
        <v>49</v>
      </c>
      <c r="BX558" s="53">
        <f t="shared" ref="BX558:DU558" si="262">SUM(BX534:BX557)</f>
        <v>7</v>
      </c>
      <c r="BY558" s="53">
        <f t="shared" si="262"/>
        <v>0</v>
      </c>
      <c r="BZ558" s="53">
        <f t="shared" si="262"/>
        <v>0</v>
      </c>
      <c r="CA558" s="53">
        <f t="shared" si="262"/>
        <v>0</v>
      </c>
      <c r="CB558" s="53">
        <f t="shared" si="262"/>
        <v>0</v>
      </c>
      <c r="CC558" s="53">
        <f t="shared" si="262"/>
        <v>0</v>
      </c>
      <c r="CD558" s="53">
        <f t="shared" si="262"/>
        <v>84</v>
      </c>
      <c r="CE558" s="53">
        <f t="shared" si="262"/>
        <v>9</v>
      </c>
      <c r="CF558" s="53">
        <f t="shared" si="262"/>
        <v>29</v>
      </c>
      <c r="CG558" s="53">
        <f t="shared" si="262"/>
        <v>14</v>
      </c>
      <c r="CH558" s="53">
        <f t="shared" si="262"/>
        <v>0</v>
      </c>
      <c r="CI558" s="53">
        <f t="shared" si="262"/>
        <v>36</v>
      </c>
      <c r="CJ558" s="53">
        <f t="shared" si="262"/>
        <v>83</v>
      </c>
      <c r="CK558" s="53">
        <f t="shared" si="262"/>
        <v>0</v>
      </c>
      <c r="CL558" s="53">
        <f t="shared" si="262"/>
        <v>0</v>
      </c>
      <c r="CM558" s="53">
        <f t="shared" si="262"/>
        <v>0</v>
      </c>
      <c r="CN558" s="53">
        <f t="shared" si="262"/>
        <v>0</v>
      </c>
      <c r="CO558" s="53">
        <f t="shared" si="262"/>
        <v>65</v>
      </c>
      <c r="CP558" s="53">
        <f t="shared" si="262"/>
        <v>0</v>
      </c>
      <c r="CQ558" s="53">
        <f t="shared" si="262"/>
        <v>0</v>
      </c>
      <c r="CR558" s="53">
        <f t="shared" si="262"/>
        <v>0</v>
      </c>
      <c r="CS558" s="53">
        <f t="shared" si="262"/>
        <v>17</v>
      </c>
      <c r="CT558" s="53">
        <f t="shared" si="262"/>
        <v>45</v>
      </c>
      <c r="CU558" s="53">
        <f t="shared" si="262"/>
        <v>0</v>
      </c>
      <c r="CV558" s="53">
        <f t="shared" si="262"/>
        <v>56</v>
      </c>
      <c r="CW558" s="53">
        <f t="shared" si="262"/>
        <v>0</v>
      </c>
      <c r="CX558" s="53">
        <f t="shared" si="262"/>
        <v>0</v>
      </c>
      <c r="CY558" s="53">
        <f t="shared" si="262"/>
        <v>24</v>
      </c>
      <c r="CZ558" s="53">
        <f t="shared" si="262"/>
        <v>0</v>
      </c>
      <c r="DA558" s="53">
        <f t="shared" si="262"/>
        <v>0</v>
      </c>
      <c r="DB558" s="53">
        <f t="shared" si="262"/>
        <v>107</v>
      </c>
      <c r="DC558" s="53">
        <f t="shared" si="262"/>
        <v>0</v>
      </c>
      <c r="DD558" s="53">
        <f t="shared" si="262"/>
        <v>0</v>
      </c>
      <c r="DE558" s="53">
        <f t="shared" si="262"/>
        <v>0</v>
      </c>
      <c r="DF558" s="53">
        <f t="shared" si="262"/>
        <v>0</v>
      </c>
      <c r="DG558" s="53">
        <f t="shared" si="262"/>
        <v>31</v>
      </c>
      <c r="DH558" s="53">
        <f t="shared" si="262"/>
        <v>10</v>
      </c>
      <c r="DI558" s="53">
        <f t="shared" si="262"/>
        <v>4</v>
      </c>
      <c r="DJ558" s="53">
        <f t="shared" si="262"/>
        <v>6</v>
      </c>
      <c r="DK558" s="53">
        <f t="shared" si="262"/>
        <v>0</v>
      </c>
      <c r="DL558" s="53">
        <f t="shared" si="262"/>
        <v>0</v>
      </c>
      <c r="DM558" s="53">
        <f t="shared" si="262"/>
        <v>15</v>
      </c>
      <c r="DN558" s="53">
        <f t="shared" si="262"/>
        <v>2</v>
      </c>
      <c r="DO558" s="53">
        <f t="shared" si="262"/>
        <v>29</v>
      </c>
      <c r="DP558" s="53">
        <f t="shared" si="262"/>
        <v>0</v>
      </c>
      <c r="DQ558" s="53">
        <f t="shared" si="262"/>
        <v>0</v>
      </c>
      <c r="DR558" s="53">
        <f t="shared" si="262"/>
        <v>0</v>
      </c>
      <c r="DS558" s="53">
        <f t="shared" si="262"/>
        <v>64</v>
      </c>
      <c r="DT558" s="53">
        <f t="shared" si="262"/>
        <v>20</v>
      </c>
      <c r="DU558" s="53">
        <f t="shared" si="262"/>
        <v>6</v>
      </c>
      <c r="DV558" s="54">
        <f t="shared" si="252"/>
        <v>847</v>
      </c>
      <c r="DW558" s="48"/>
      <c r="DY558" s="6">
        <f>SUM(DY534:DY557)</f>
        <v>847</v>
      </c>
      <c r="DZ558" s="6" t="str">
        <f t="shared" si="256"/>
        <v/>
      </c>
    </row>
    <row r="559" spans="1:130" s="6" customFormat="1" ht="12" thickTop="1">
      <c r="A559" s="213" t="s">
        <v>205</v>
      </c>
      <c r="B559" s="24"/>
      <c r="C559" s="39">
        <f t="shared" ref="C559:R559" si="263">ROUND(IF(ISERROR(AVERAGE(C534:C557)),0,AVERAGE(C534:C557)),0)</f>
        <v>2</v>
      </c>
      <c r="D559" s="24">
        <f t="shared" si="263"/>
        <v>13</v>
      </c>
      <c r="E559" s="24">
        <f t="shared" si="263"/>
        <v>1</v>
      </c>
      <c r="F559" s="24">
        <f t="shared" si="263"/>
        <v>1</v>
      </c>
      <c r="G559" s="24">
        <f t="shared" si="263"/>
        <v>2</v>
      </c>
      <c r="H559" s="24">
        <f t="shared" si="263"/>
        <v>0</v>
      </c>
      <c r="I559" s="24">
        <f>ROUND(IF(ISERROR(AVERAGE(I534:I557)),0,AVERAGE(I534:I557)),0)</f>
        <v>0</v>
      </c>
      <c r="J559" s="24">
        <f t="shared" si="263"/>
        <v>10</v>
      </c>
      <c r="K559" s="24">
        <f t="shared" si="263"/>
        <v>0</v>
      </c>
      <c r="L559" s="24">
        <f t="shared" si="263"/>
        <v>0</v>
      </c>
      <c r="M559" s="24">
        <f t="shared" ref="M559:O559" si="264">ROUND(IF(ISERROR(AVERAGE(M534:M557)),0,AVERAGE(M534:M557)),0)</f>
        <v>0</v>
      </c>
      <c r="N559" s="24">
        <f t="shared" si="264"/>
        <v>0</v>
      </c>
      <c r="O559" s="24">
        <f t="shared" si="264"/>
        <v>7</v>
      </c>
      <c r="P559" s="24">
        <f t="shared" si="263"/>
        <v>0</v>
      </c>
      <c r="Q559" s="24">
        <f t="shared" si="263"/>
        <v>0</v>
      </c>
      <c r="R559" s="24">
        <f t="shared" si="263"/>
        <v>0</v>
      </c>
      <c r="S559" s="31">
        <f>SUM(C559:R559)</f>
        <v>36</v>
      </c>
      <c r="T559" s="24">
        <f>ROUND(IF(ISERROR(AVERAGE(T534:T557)),0,AVERAGE(T534:T557)),0)</f>
        <v>0</v>
      </c>
      <c r="U559" s="24">
        <f>ROUND(IF(ISERROR(AVERAGE(U534:U557)),0,AVERAGE(U534:U557)),0)</f>
        <v>14</v>
      </c>
      <c r="V559" s="24">
        <f>ROUND(IF(ISERROR(AVERAGE(V534:V557)),0,AVERAGE(V534:V557)),0)</f>
        <v>12</v>
      </c>
      <c r="W559" s="24">
        <f>ROUND(IF(ISERROR(AVERAGE(W534:W557)),0,AVERAGE(W534:W557)),0)</f>
        <v>0</v>
      </c>
      <c r="X559" s="40">
        <f>ROUND(IF(ISERROR(AVERAGE(X534:X557)),0,AVERAGE(X534:X557)),0)</f>
        <v>0</v>
      </c>
      <c r="Z559" s="39">
        <f>ROUND(IF(ISERROR(AVERAGE(Z534:Z557)),0,AVERAGE(Z534:Z557)),0)</f>
        <v>1876197</v>
      </c>
      <c r="AA559" s="24">
        <f>ROUND(IF(ISERROR(AVERAGE(AA534:AA557)),0,AVERAGE(AA534:AA557)),0)</f>
        <v>0</v>
      </c>
      <c r="AB559" s="24"/>
      <c r="AC559" s="39">
        <f>ROUND(IF(ISERROR(AVERAGE(AC534:AC557)),0,AVERAGE(AC534:AC557)),0)</f>
        <v>640073</v>
      </c>
      <c r="AD559" s="24">
        <f>ROUND(IF(ISERROR(AVERAGE(AD534:AD557)),0,AVERAGE(AD534:AD557)),0)</f>
        <v>0</v>
      </c>
      <c r="AE559" s="31">
        <f>SUM(AC559:AD559)</f>
        <v>640073</v>
      </c>
      <c r="AG559" s="39">
        <f>ROUND(IF(ISERROR(AVERAGE(AG534:AG557)),0,AVERAGE(AG534:AG557)),0)</f>
        <v>58</v>
      </c>
      <c r="AH559" s="24">
        <f>ROUND(IF(ISERROR(AVERAGE(AH534:AH557)),0,AVERAGE(AH534:AH557)),0)</f>
        <v>51</v>
      </c>
      <c r="AI559" s="24">
        <f>ROUND(IF(ISERROR(AVERAGE(AI534:AI557)),0,AVERAGE(AI534:AI557)),0)</f>
        <v>122</v>
      </c>
      <c r="AJ559" s="40">
        <f>ROUND(IF(ISERROR(AVERAGE(AJ534:AJ557)),0,AVERAGE(AJ534:AJ557)),0)</f>
        <v>0</v>
      </c>
      <c r="AL559" s="39">
        <f>ROUND(IF(ISERROR(AVERAGE(AL534:AL557)),0,AVERAGE(AL534:AL557)),0)</f>
        <v>0</v>
      </c>
      <c r="AM559" s="24">
        <f>ROUND(IF(ISERROR(AVERAGE(AM534:AM557)),0,AVERAGE(AM534:AM557)),0)</f>
        <v>56</v>
      </c>
      <c r="AN559" s="31">
        <f>SUM(AL559:AM559)</f>
        <v>56</v>
      </c>
      <c r="AO559" s="285"/>
      <c r="AP559" s="285"/>
      <c r="AQ559" s="281"/>
      <c r="AR559" s="24">
        <f>ROUND(IF(ISERROR(AVERAGE(AR534:AR557)),0,AVERAGE(AR534:AR557)),0)</f>
        <v>150</v>
      </c>
      <c r="AS559" s="24">
        <f>ROUND(IF(ISERROR(AVERAGE(AS534:AS557)),0,AVERAGE(AS534:AS557)),0)</f>
        <v>54</v>
      </c>
      <c r="AT559" s="24">
        <f>ROUND(IF(ISERROR(AVERAGE(AT534:AT557)),0,AVERAGE(AT534:AT557)),0)</f>
        <v>88</v>
      </c>
      <c r="AU559" s="24">
        <f>ROUND(IF(ISERROR(AVERAGE(AU534:AU557)),0,AVERAGE(AU534:AU557)),0)</f>
        <v>21</v>
      </c>
      <c r="AV559" s="40">
        <f>ROUND(IF(ISERROR(AVERAGE(AV534:AV557)),0,AVERAGE(AV534:AV557)),0)</f>
        <v>193</v>
      </c>
      <c r="AX559" s="330"/>
      <c r="AY559" s="40">
        <f>ROUND(IF(ISERROR(AVERAGE(AY534:AY557)),0,AVERAGE(AY534:AY557)),0)</f>
        <v>-2</v>
      </c>
      <c r="BA559" s="39">
        <f t="shared" ref="BA559:BM559" si="265">ROUND(IF(ISERROR(AVERAGE(BA534:BA557)),0,AVERAGE(BA534:BA557)),0)</f>
        <v>1814</v>
      </c>
      <c r="BB559" s="24">
        <f t="shared" si="265"/>
        <v>38619655</v>
      </c>
      <c r="BC559" s="24">
        <f t="shared" si="265"/>
        <v>0</v>
      </c>
      <c r="BD559" s="24"/>
      <c r="BE559" s="24">
        <f t="shared" si="265"/>
        <v>57</v>
      </c>
      <c r="BF559" s="24">
        <f t="shared" si="265"/>
        <v>4</v>
      </c>
      <c r="BG559" s="24">
        <f t="shared" si="265"/>
        <v>2</v>
      </c>
      <c r="BH559" s="31"/>
      <c r="BI559" s="24">
        <f t="shared" si="265"/>
        <v>2319290</v>
      </c>
      <c r="BJ559" s="340"/>
      <c r="BK559" s="340"/>
      <c r="BL559" s="305">
        <f>AVERAGE(BL534:BL557)</f>
        <v>15.75</v>
      </c>
      <c r="BM559" s="40">
        <f t="shared" si="265"/>
        <v>0</v>
      </c>
      <c r="BO559" s="39">
        <f>ROUND(IF(ISERROR(AVERAGE(BO534:BO557)),0,AVERAGE(BO534:BO557)),0)</f>
        <v>0</v>
      </c>
      <c r="BP559" s="40">
        <f>ROUND(IF(ISERROR(AVERAGE(BP534:BP557)),0,AVERAGE(BP534:BP557)),0)</f>
        <v>157</v>
      </c>
      <c r="BR559" s="65" t="s">
        <v>209</v>
      </c>
      <c r="BS559" s="19"/>
      <c r="BT559" s="14"/>
      <c r="BV559" s="39">
        <f>ROUND(IF(ISERROR(AVERAGE(BV534:BV557)),0,AVERAGE(BV534:BV557)),0)</f>
        <v>1</v>
      </c>
      <c r="BW559" s="24">
        <f>ROUND(IF(ISERROR(AVERAGE(BW534:BW557)),0,AVERAGE(BW534:BW557)),0)</f>
        <v>2</v>
      </c>
      <c r="BX559" s="24">
        <f t="shared" ref="BX559:DU559" si="266">ROUND(IF(ISERROR(AVERAGE(BX534:BX557)),0,AVERAGE(BX534:BX557)),0)</f>
        <v>0</v>
      </c>
      <c r="BY559" s="24">
        <f t="shared" si="266"/>
        <v>0</v>
      </c>
      <c r="BZ559" s="24">
        <f t="shared" si="266"/>
        <v>0</v>
      </c>
      <c r="CA559" s="24">
        <f t="shared" si="266"/>
        <v>0</v>
      </c>
      <c r="CB559" s="24">
        <f t="shared" si="266"/>
        <v>0</v>
      </c>
      <c r="CC559" s="24">
        <f t="shared" si="266"/>
        <v>0</v>
      </c>
      <c r="CD559" s="24">
        <f t="shared" si="266"/>
        <v>4</v>
      </c>
      <c r="CE559" s="24">
        <f t="shared" si="266"/>
        <v>0</v>
      </c>
      <c r="CF559" s="24">
        <f t="shared" si="266"/>
        <v>1</v>
      </c>
      <c r="CG559" s="24">
        <f t="shared" si="266"/>
        <v>1</v>
      </c>
      <c r="CH559" s="24">
        <f t="shared" si="266"/>
        <v>0</v>
      </c>
      <c r="CI559" s="24">
        <f t="shared" si="266"/>
        <v>2</v>
      </c>
      <c r="CJ559" s="24">
        <f t="shared" si="266"/>
        <v>3</v>
      </c>
      <c r="CK559" s="24">
        <f t="shared" si="266"/>
        <v>0</v>
      </c>
      <c r="CL559" s="24">
        <f t="shared" si="266"/>
        <v>0</v>
      </c>
      <c r="CM559" s="24">
        <f t="shared" si="266"/>
        <v>0</v>
      </c>
      <c r="CN559" s="24">
        <f t="shared" si="266"/>
        <v>0</v>
      </c>
      <c r="CO559" s="24">
        <f t="shared" si="266"/>
        <v>3</v>
      </c>
      <c r="CP559" s="24">
        <f t="shared" si="266"/>
        <v>0</v>
      </c>
      <c r="CQ559" s="24">
        <f t="shared" si="266"/>
        <v>0</v>
      </c>
      <c r="CR559" s="24">
        <f t="shared" si="266"/>
        <v>0</v>
      </c>
      <c r="CS559" s="24">
        <f t="shared" si="266"/>
        <v>1</v>
      </c>
      <c r="CT559" s="24">
        <f t="shared" si="266"/>
        <v>2</v>
      </c>
      <c r="CU559" s="24">
        <f t="shared" si="266"/>
        <v>0</v>
      </c>
      <c r="CV559" s="24">
        <f t="shared" si="266"/>
        <v>2</v>
      </c>
      <c r="CW559" s="24">
        <f t="shared" si="266"/>
        <v>0</v>
      </c>
      <c r="CX559" s="24">
        <f t="shared" si="266"/>
        <v>0</v>
      </c>
      <c r="CY559" s="24">
        <f t="shared" si="266"/>
        <v>1</v>
      </c>
      <c r="CZ559" s="24">
        <f t="shared" si="266"/>
        <v>0</v>
      </c>
      <c r="DA559" s="24">
        <f t="shared" si="266"/>
        <v>0</v>
      </c>
      <c r="DB559" s="24">
        <f t="shared" si="266"/>
        <v>4</v>
      </c>
      <c r="DC559" s="24">
        <f t="shared" si="266"/>
        <v>0</v>
      </c>
      <c r="DD559" s="24">
        <f t="shared" si="266"/>
        <v>0</v>
      </c>
      <c r="DE559" s="24">
        <f t="shared" si="266"/>
        <v>0</v>
      </c>
      <c r="DF559" s="24">
        <f t="shared" si="266"/>
        <v>0</v>
      </c>
      <c r="DG559" s="24">
        <f t="shared" si="266"/>
        <v>1</v>
      </c>
      <c r="DH559" s="24">
        <f t="shared" si="266"/>
        <v>0</v>
      </c>
      <c r="DI559" s="24">
        <f t="shared" si="266"/>
        <v>0</v>
      </c>
      <c r="DJ559" s="24">
        <f t="shared" si="266"/>
        <v>0</v>
      </c>
      <c r="DK559" s="24">
        <f t="shared" si="266"/>
        <v>0</v>
      </c>
      <c r="DL559" s="24">
        <f t="shared" si="266"/>
        <v>0</v>
      </c>
      <c r="DM559" s="24">
        <f t="shared" si="266"/>
        <v>1</v>
      </c>
      <c r="DN559" s="24">
        <f t="shared" si="266"/>
        <v>0</v>
      </c>
      <c r="DO559" s="24">
        <f t="shared" si="266"/>
        <v>1</v>
      </c>
      <c r="DP559" s="24">
        <f t="shared" si="266"/>
        <v>0</v>
      </c>
      <c r="DQ559" s="24">
        <f t="shared" si="266"/>
        <v>0</v>
      </c>
      <c r="DR559" s="24">
        <f t="shared" si="266"/>
        <v>0</v>
      </c>
      <c r="DS559" s="24">
        <f t="shared" si="266"/>
        <v>3</v>
      </c>
      <c r="DT559" s="24">
        <f t="shared" si="266"/>
        <v>1</v>
      </c>
      <c r="DU559" s="24">
        <f t="shared" si="266"/>
        <v>0</v>
      </c>
      <c r="DV559" s="18"/>
      <c r="DW559" s="48"/>
    </row>
    <row r="560" spans="1:130" customFormat="1">
      <c r="A560" s="210" t="s">
        <v>206</v>
      </c>
      <c r="B560" s="211"/>
      <c r="C560" s="8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30">
        <f>MEDIAN(S534:S557)</f>
        <v>35</v>
      </c>
      <c r="T560" s="10"/>
      <c r="U560" s="10"/>
      <c r="V560" s="10"/>
      <c r="W560" s="10"/>
      <c r="X560" s="5"/>
      <c r="Y560" s="10"/>
      <c r="Z560" s="8"/>
      <c r="AA560" s="10" t="str">
        <f>IF(ISERROR(MEDIAN(AA534:AA557)),"",MEDIAN(AA534:AA557))</f>
        <v/>
      </c>
      <c r="AB560" s="10"/>
      <c r="AC560" s="8"/>
      <c r="AD560" s="10"/>
      <c r="AE560" s="30"/>
      <c r="AF560" s="10"/>
      <c r="AG560" s="8"/>
      <c r="AH560" s="10"/>
      <c r="AI560" s="10">
        <f>IF(ISERROR(MEDIAN(AI534:AI557)),"",MEDIAN(AI534:AI557))</f>
        <v>130</v>
      </c>
      <c r="AJ560" s="5" t="str">
        <f>IF(ISERROR(MEDIAN(AJ534:AJ557)),"",MEDIAN(AJ534:AJ557))</f>
        <v/>
      </c>
      <c r="AK560" s="10"/>
      <c r="AL560" s="8"/>
      <c r="AM560" s="10"/>
      <c r="AN560" s="30"/>
      <c r="AO560" s="10"/>
      <c r="AP560" s="10"/>
      <c r="AQ560" s="30"/>
      <c r="AR560" s="10"/>
      <c r="AS560" s="10"/>
      <c r="AT560" s="10"/>
      <c r="AU560" s="10"/>
      <c r="AV560" s="5"/>
      <c r="AW560" s="10"/>
      <c r="AX560" s="326"/>
      <c r="AY560" s="5"/>
      <c r="AZ560" s="10"/>
      <c r="BA560" s="8">
        <f>IF(ISERROR(MEDIAN(BA534:BA557)),"",MEDIAN(BA534:BA557))</f>
        <v>1814</v>
      </c>
      <c r="BB560" s="10"/>
      <c r="BC560" s="10"/>
      <c r="BD560" s="10"/>
      <c r="BE560" s="10"/>
      <c r="BF560" s="10"/>
      <c r="BG560" s="10"/>
      <c r="BH560" s="30"/>
      <c r="BI560" s="10"/>
      <c r="BJ560" s="338"/>
      <c r="BK560" s="338"/>
      <c r="BL560" s="303"/>
      <c r="BM560" s="5"/>
      <c r="BN560" s="10"/>
      <c r="BO560" s="8"/>
      <c r="BP560" s="5"/>
      <c r="BQ560" s="10"/>
      <c r="BR560" s="65"/>
      <c r="BS560" s="19"/>
      <c r="BT560" s="14"/>
      <c r="BU560" s="10"/>
      <c r="BV560" s="8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  <c r="DF560" s="10"/>
      <c r="DG560" s="10"/>
      <c r="DH560" s="10"/>
      <c r="DI560" s="10"/>
      <c r="DJ560" s="10"/>
      <c r="DK560" s="10"/>
      <c r="DL560" s="10"/>
      <c r="DM560" s="10"/>
      <c r="DN560" s="10"/>
      <c r="DO560" s="10"/>
      <c r="DP560" s="10"/>
      <c r="DQ560" s="10"/>
      <c r="DR560" s="10"/>
      <c r="DS560" s="10"/>
      <c r="DT560" s="10"/>
      <c r="DU560" s="10"/>
      <c r="DV560" s="5"/>
      <c r="DW560" s="21"/>
    </row>
    <row r="561" spans="1:130" customFormat="1" ht="12" thickBot="1">
      <c r="A561" s="214" t="s">
        <v>210</v>
      </c>
      <c r="B561" s="195"/>
      <c r="C561" s="41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32">
        <f>MODE(S534:S557)</f>
        <v>35</v>
      </c>
      <c r="T561" s="22"/>
      <c r="U561" s="22"/>
      <c r="V561" s="22"/>
      <c r="W561" s="22"/>
      <c r="X561" s="42"/>
      <c r="Y561" s="22"/>
      <c r="Z561" s="41"/>
      <c r="AA561" s="22"/>
      <c r="AB561" s="22"/>
      <c r="AC561" s="41"/>
      <c r="AD561" s="22"/>
      <c r="AE561" s="32"/>
      <c r="AF561" s="22"/>
      <c r="AG561" s="41"/>
      <c r="AH561" s="22"/>
      <c r="AI561" s="22">
        <f>IF(ISERROR(MODE(AI534:AI557)),"",MODE(AI534:AI557))</f>
        <v>118</v>
      </c>
      <c r="AJ561" s="42" t="str">
        <f>IF(ISERROR(MODE(AJ534:AJ557)),"",MODE(AJ534:AJ557))</f>
        <v/>
      </c>
      <c r="AK561" s="22"/>
      <c r="AL561" s="41"/>
      <c r="AM561" s="22"/>
      <c r="AN561" s="32"/>
      <c r="AO561" s="22"/>
      <c r="AP561" s="22"/>
      <c r="AQ561" s="32"/>
      <c r="AR561" s="22"/>
      <c r="AS561" s="22"/>
      <c r="AT561" s="22"/>
      <c r="AU561" s="22"/>
      <c r="AV561" s="42"/>
      <c r="AW561" s="22"/>
      <c r="AX561" s="331"/>
      <c r="AY561" s="42"/>
      <c r="AZ561" s="22"/>
      <c r="BA561" s="41"/>
      <c r="BB561" s="22"/>
      <c r="BC561" s="22"/>
      <c r="BD561" s="22"/>
      <c r="BE561" s="22"/>
      <c r="BF561" s="22"/>
      <c r="BG561" s="22"/>
      <c r="BH561" s="32"/>
      <c r="BI561" s="22"/>
      <c r="BJ561" s="341"/>
      <c r="BK561" s="341"/>
      <c r="BL561" s="306"/>
      <c r="BM561" s="42"/>
      <c r="BN561" s="22"/>
      <c r="BO561" s="41"/>
      <c r="BP561" s="42"/>
      <c r="BQ561" s="22"/>
      <c r="BR561" s="66"/>
      <c r="BS561" s="51"/>
      <c r="BT561" s="67"/>
      <c r="BU561" s="22"/>
      <c r="BV561" s="41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2"/>
      <c r="CP561" s="22"/>
      <c r="CQ561" s="22"/>
      <c r="CR561" s="22"/>
      <c r="CS561" s="22"/>
      <c r="CT561" s="22"/>
      <c r="CU561" s="22"/>
      <c r="CV561" s="22"/>
      <c r="CW561" s="22"/>
      <c r="CX561" s="22"/>
      <c r="CY561" s="22"/>
      <c r="CZ561" s="22"/>
      <c r="DA561" s="22"/>
      <c r="DB561" s="22"/>
      <c r="DC561" s="22"/>
      <c r="DD561" s="22"/>
      <c r="DE561" s="22"/>
      <c r="DF561" s="22"/>
      <c r="DG561" s="22"/>
      <c r="DH561" s="22"/>
      <c r="DI561" s="22"/>
      <c r="DJ561" s="22"/>
      <c r="DK561" s="22"/>
      <c r="DL561" s="22"/>
      <c r="DM561" s="22"/>
      <c r="DN561" s="22"/>
      <c r="DO561" s="22"/>
      <c r="DP561" s="22"/>
      <c r="DQ561" s="22"/>
      <c r="DR561" s="22"/>
      <c r="DS561" s="22"/>
      <c r="DT561" s="22"/>
      <c r="DU561" s="22"/>
      <c r="DV561" s="42"/>
      <c r="DW561" s="23"/>
    </row>
    <row r="562" spans="1:130" customFormat="1">
      <c r="A562" s="194" t="s">
        <v>182</v>
      </c>
      <c r="B562" s="194"/>
      <c r="C562" s="8">
        <f>COUNTA(C534:C557)</f>
        <v>24</v>
      </c>
      <c r="D562" s="10"/>
      <c r="E562" s="10"/>
      <c r="F562" s="10">
        <f>SUM(C558:F558)</f>
        <v>378</v>
      </c>
      <c r="G562" s="98">
        <f>G558/F562</f>
        <v>0.12433862433862433</v>
      </c>
      <c r="H562" s="104">
        <f>H558/S558</f>
        <v>1.1806375442739079E-2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30"/>
      <c r="T562" s="10"/>
      <c r="U562" s="98">
        <f>U558/S558</f>
        <v>0.40850059031877212</v>
      </c>
      <c r="V562" s="98">
        <f>V558/S558</f>
        <v>0.33057851239669422</v>
      </c>
      <c r="W562" s="276">
        <f>W558/S558</f>
        <v>0</v>
      </c>
      <c r="X562" s="276">
        <f>X558/S558</f>
        <v>3.5419126328217238E-3</v>
      </c>
      <c r="Y562" s="10"/>
      <c r="Z562" s="8"/>
      <c r="AA562" s="10"/>
      <c r="AB562" s="10"/>
      <c r="AC562" s="8"/>
      <c r="AD562" s="10"/>
      <c r="AE562" s="30"/>
      <c r="AF562" s="10"/>
      <c r="AG562" s="8"/>
      <c r="AH562" s="10"/>
      <c r="AI562" s="10"/>
      <c r="AJ562" s="5"/>
      <c r="AK562" s="10"/>
      <c r="AL562" s="8"/>
      <c r="AM562" s="10"/>
      <c r="AN562" s="30"/>
      <c r="AO562" s="10"/>
      <c r="AP562" s="10"/>
      <c r="AQ562" s="30"/>
      <c r="AR562" s="10"/>
      <c r="AS562" s="10"/>
      <c r="AT562" s="10"/>
      <c r="AU562" s="10"/>
      <c r="AV562" s="5"/>
      <c r="AW562" s="10"/>
      <c r="AX562" s="326"/>
      <c r="AY562" s="5"/>
      <c r="AZ562" s="10"/>
      <c r="BA562" s="8"/>
      <c r="BB562" s="10"/>
      <c r="BC562" s="10"/>
      <c r="BD562" s="10"/>
      <c r="BE562" s="10"/>
      <c r="BF562" s="10"/>
      <c r="BG562" s="10"/>
      <c r="BH562" s="30"/>
      <c r="BI562" s="10"/>
      <c r="BJ562" s="338"/>
      <c r="BK562" s="338"/>
      <c r="BL562" s="303"/>
      <c r="BM562" s="5"/>
      <c r="BN562" s="10"/>
      <c r="BO562" s="8"/>
      <c r="BP562" s="5"/>
      <c r="BQ562" s="10"/>
      <c r="BR562" s="65"/>
      <c r="BS562" s="19"/>
      <c r="BT562" s="14"/>
      <c r="BU562" s="10"/>
      <c r="BV562" s="8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  <c r="DF562" s="10"/>
      <c r="DG562" s="10"/>
      <c r="DH562" s="10"/>
      <c r="DI562" s="10"/>
      <c r="DJ562" s="10"/>
      <c r="DK562" s="10"/>
      <c r="DL562" s="10"/>
      <c r="DM562" s="10"/>
      <c r="DN562" s="10"/>
      <c r="DO562" s="10"/>
      <c r="DP562" s="10"/>
      <c r="DQ562" s="10"/>
      <c r="DR562" s="10"/>
      <c r="DS562" s="10"/>
      <c r="DT562" s="10"/>
      <c r="DU562" s="10"/>
      <c r="DV562" s="5"/>
      <c r="DW562" s="10"/>
    </row>
    <row r="563" spans="1:130" customFormat="1" ht="12" thickBot="1">
      <c r="A563" s="194"/>
      <c r="B563" s="194"/>
      <c r="C563" s="8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30"/>
      <c r="T563" s="10"/>
      <c r="U563" s="1"/>
      <c r="V563" s="1"/>
      <c r="W563" s="10"/>
      <c r="X563" s="5"/>
      <c r="Y563" s="10"/>
      <c r="Z563" s="8"/>
      <c r="AA563" s="10"/>
      <c r="AB563" s="10"/>
      <c r="AC563" s="8"/>
      <c r="AD563" s="10"/>
      <c r="AE563" s="30"/>
      <c r="AF563" s="10"/>
      <c r="AG563" s="8"/>
      <c r="AH563" s="10"/>
      <c r="AI563" s="10"/>
      <c r="AJ563" s="5"/>
      <c r="AK563" s="10"/>
      <c r="AL563" s="8"/>
      <c r="AM563" s="10"/>
      <c r="AN563" s="30"/>
      <c r="AO563" s="10"/>
      <c r="AP563" s="10"/>
      <c r="AQ563" s="30"/>
      <c r="AR563" s="10"/>
      <c r="AS563" s="10"/>
      <c r="AT563" s="10"/>
      <c r="AU563" s="10"/>
      <c r="AV563" s="5"/>
      <c r="AW563" s="10"/>
      <c r="AX563" s="326"/>
      <c r="AY563" s="5"/>
      <c r="AZ563" s="10"/>
      <c r="BA563" s="8"/>
      <c r="BB563" s="10"/>
      <c r="BC563" s="10"/>
      <c r="BD563" s="10"/>
      <c r="BE563" s="10"/>
      <c r="BF563" s="10"/>
      <c r="BG563" s="10"/>
      <c r="BH563" s="30"/>
      <c r="BI563" s="10"/>
      <c r="BJ563" s="338"/>
      <c r="BK563" s="338"/>
      <c r="BL563" s="303"/>
      <c r="BM563" s="5"/>
      <c r="BN563" s="10"/>
      <c r="BO563" s="8"/>
      <c r="BP563" s="5"/>
      <c r="BQ563" s="10"/>
      <c r="BR563" s="65"/>
      <c r="BS563" s="19"/>
      <c r="BT563" s="14"/>
      <c r="BU563" s="10"/>
      <c r="BV563" s="8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  <c r="DF563" s="10"/>
      <c r="DG563" s="10"/>
      <c r="DH563" s="10"/>
      <c r="DI563" s="10"/>
      <c r="DJ563" s="10"/>
      <c r="DK563" s="10"/>
      <c r="DL563" s="10"/>
      <c r="DM563" s="10"/>
      <c r="DN563" s="10"/>
      <c r="DO563" s="10"/>
      <c r="DP563" s="10"/>
      <c r="DQ563" s="10"/>
      <c r="DR563" s="10"/>
      <c r="DS563" s="10"/>
      <c r="DT563" s="10"/>
      <c r="DU563" s="10"/>
      <c r="DV563" s="5"/>
      <c r="DW563" s="10"/>
    </row>
    <row r="564" spans="1:130" customFormat="1">
      <c r="A564" s="208">
        <v>38899</v>
      </c>
      <c r="B564" s="209"/>
      <c r="C564" s="36">
        <v>5</v>
      </c>
      <c r="D564" s="9">
        <v>23</v>
      </c>
      <c r="E564" s="9">
        <v>0</v>
      </c>
      <c r="F564" s="9">
        <v>0</v>
      </c>
      <c r="G564" s="9">
        <v>2</v>
      </c>
      <c r="H564" s="9">
        <v>0</v>
      </c>
      <c r="I564" s="9">
        <v>0</v>
      </c>
      <c r="J564" s="9">
        <v>2</v>
      </c>
      <c r="K564" s="9">
        <v>0</v>
      </c>
      <c r="L564" s="9">
        <v>0</v>
      </c>
      <c r="M564" s="9">
        <v>0</v>
      </c>
      <c r="N564" s="9">
        <v>0</v>
      </c>
      <c r="O564" s="9">
        <v>9</v>
      </c>
      <c r="P564" s="9">
        <v>0</v>
      </c>
      <c r="Q564" s="9">
        <v>0</v>
      </c>
      <c r="R564" s="9">
        <v>0</v>
      </c>
      <c r="S564" s="33">
        <f>SUM(C564:R564)</f>
        <v>41</v>
      </c>
      <c r="T564" s="9"/>
      <c r="U564" s="9">
        <v>15</v>
      </c>
      <c r="V564" s="9">
        <v>11</v>
      </c>
      <c r="W564" s="9">
        <v>0</v>
      </c>
      <c r="X564" s="37">
        <v>0</v>
      </c>
      <c r="Y564" s="9"/>
      <c r="Z564" s="91">
        <v>2001920</v>
      </c>
      <c r="AA564" s="99"/>
      <c r="AB564" s="99"/>
      <c r="AC564" s="91">
        <v>526373</v>
      </c>
      <c r="AD564" s="9"/>
      <c r="AE564" s="33">
        <f t="shared" ref="AE564:AE587" si="267">SUM(AC564:AD564)</f>
        <v>526373</v>
      </c>
      <c r="AF564" s="9"/>
      <c r="AG564" s="91">
        <v>59</v>
      </c>
      <c r="AH564" s="92">
        <v>51</v>
      </c>
      <c r="AI564" s="92">
        <v>122</v>
      </c>
      <c r="AJ564" s="93"/>
      <c r="AK564" s="9"/>
      <c r="AL564" s="36">
        <v>0</v>
      </c>
      <c r="AM564" s="9">
        <v>49</v>
      </c>
      <c r="AN564" s="33">
        <f>SUM(AL564:AM564)</f>
        <v>49</v>
      </c>
      <c r="AO564" s="280"/>
      <c r="AP564" s="280"/>
      <c r="AQ564" s="282"/>
      <c r="AR564" s="92">
        <v>143</v>
      </c>
      <c r="AS564" s="92">
        <v>54</v>
      </c>
      <c r="AT564" s="92">
        <v>97</v>
      </c>
      <c r="AU564" s="92">
        <v>19</v>
      </c>
      <c r="AV564" s="93">
        <v>196</v>
      </c>
      <c r="AW564" s="9"/>
      <c r="AX564" s="325">
        <v>38898</v>
      </c>
      <c r="AY564" s="37">
        <v>-1</v>
      </c>
      <c r="AZ564" s="9"/>
      <c r="BA564" s="91">
        <v>1827</v>
      </c>
      <c r="BB564" s="92">
        <v>42531156</v>
      </c>
      <c r="BC564" s="92"/>
      <c r="BD564" s="92"/>
      <c r="BE564" s="92">
        <v>76</v>
      </c>
      <c r="BF564" s="92">
        <v>4</v>
      </c>
      <c r="BG564" s="92">
        <v>1</v>
      </c>
      <c r="BH564" s="352"/>
      <c r="BI564" s="92">
        <v>2741388</v>
      </c>
      <c r="BJ564" s="337">
        <v>38908</v>
      </c>
      <c r="BK564" s="337">
        <v>38903</v>
      </c>
      <c r="BL564" s="319">
        <f>BK564-BJ564</f>
        <v>-5</v>
      </c>
      <c r="BM564" s="93"/>
      <c r="BN564" s="9"/>
      <c r="BO564" s="36"/>
      <c r="BP564" s="93">
        <v>160</v>
      </c>
      <c r="BQ564" s="9"/>
      <c r="BR564" s="74">
        <v>2007</v>
      </c>
      <c r="BS564" s="75">
        <v>2006</v>
      </c>
      <c r="BT564" s="13">
        <v>13</v>
      </c>
      <c r="BU564" s="9"/>
      <c r="BV564" s="36">
        <v>3</v>
      </c>
      <c r="BW564" s="9">
        <v>0</v>
      </c>
      <c r="BX564" s="9">
        <v>0</v>
      </c>
      <c r="BY564" s="9">
        <v>0</v>
      </c>
      <c r="BZ564" s="9">
        <v>0</v>
      </c>
      <c r="CA564" s="9">
        <v>0</v>
      </c>
      <c r="CB564" s="9">
        <v>0</v>
      </c>
      <c r="CC564" s="223"/>
      <c r="CD564" s="9">
        <v>5</v>
      </c>
      <c r="CE564" s="9">
        <v>0</v>
      </c>
      <c r="CF564" s="222">
        <v>0</v>
      </c>
      <c r="CG564" s="9">
        <v>0</v>
      </c>
      <c r="CH564" s="9">
        <v>0</v>
      </c>
      <c r="CI564" s="9">
        <v>5</v>
      </c>
      <c r="CJ564" s="9">
        <v>2</v>
      </c>
      <c r="CK564" s="9"/>
      <c r="CL564" s="9">
        <v>0</v>
      </c>
      <c r="CM564" s="9">
        <v>0</v>
      </c>
      <c r="CN564" s="9">
        <v>6</v>
      </c>
      <c r="CO564" s="9">
        <v>1</v>
      </c>
      <c r="CP564" s="220"/>
      <c r="CQ564" s="9">
        <v>0</v>
      </c>
      <c r="CR564" s="9"/>
      <c r="CS564" s="9">
        <v>1</v>
      </c>
      <c r="CT564" s="9">
        <v>1</v>
      </c>
      <c r="CU564" s="223">
        <v>0</v>
      </c>
      <c r="CV564" s="9">
        <v>4</v>
      </c>
      <c r="CW564" s="9">
        <v>0</v>
      </c>
      <c r="CX564" s="223">
        <v>0</v>
      </c>
      <c r="CY564" s="9">
        <v>0</v>
      </c>
      <c r="CZ564" s="9">
        <v>0</v>
      </c>
      <c r="DA564" s="9">
        <v>0</v>
      </c>
      <c r="DB564" s="9">
        <v>4</v>
      </c>
      <c r="DC564" s="9">
        <v>0</v>
      </c>
      <c r="DD564" s="9">
        <v>0</v>
      </c>
      <c r="DE564" s="9">
        <v>0</v>
      </c>
      <c r="DF564" s="9">
        <v>0</v>
      </c>
      <c r="DG564" s="9">
        <v>6</v>
      </c>
      <c r="DH564" s="9">
        <v>1</v>
      </c>
      <c r="DI564" s="9">
        <v>0</v>
      </c>
      <c r="DJ564" s="9">
        <v>0</v>
      </c>
      <c r="DK564" s="9">
        <v>0</v>
      </c>
      <c r="DL564" s="9">
        <v>0</v>
      </c>
      <c r="DM564" s="9">
        <v>2</v>
      </c>
      <c r="DN564" s="9">
        <v>0</v>
      </c>
      <c r="DO564" s="9">
        <v>0</v>
      </c>
      <c r="DP564" s="9">
        <v>0</v>
      </c>
      <c r="DQ564" s="9">
        <v>0</v>
      </c>
      <c r="DR564" s="9"/>
      <c r="DS564" s="9">
        <v>0</v>
      </c>
      <c r="DT564" s="9">
        <v>0</v>
      </c>
      <c r="DU564" s="9">
        <v>0</v>
      </c>
      <c r="DV564" s="44">
        <f>SUM(BV564:DU564)</f>
        <v>41</v>
      </c>
      <c r="DW564" s="14" t="str">
        <f t="shared" ref="DW564:DW587" si="268">IF(DV564=S564,"","PROB")</f>
        <v/>
      </c>
      <c r="DY564">
        <f>S564</f>
        <v>41</v>
      </c>
      <c r="DZ564" t="str">
        <f t="shared" ref="DZ564:DZ576" si="269">IF(DV564-DY564=0,"",DV564-DY564)</f>
        <v/>
      </c>
    </row>
    <row r="565" spans="1:130" customFormat="1">
      <c r="A565" s="210">
        <v>38913</v>
      </c>
      <c r="B565" s="211"/>
      <c r="C565" s="8">
        <v>3</v>
      </c>
      <c r="D565" s="10">
        <v>14</v>
      </c>
      <c r="E565" s="10">
        <v>0</v>
      </c>
      <c r="F565" s="59">
        <v>0</v>
      </c>
      <c r="G565" s="59">
        <v>0</v>
      </c>
      <c r="H565" s="59">
        <v>1</v>
      </c>
      <c r="I565" s="59">
        <v>0</v>
      </c>
      <c r="J565" s="59">
        <v>26</v>
      </c>
      <c r="K565" s="59">
        <v>0</v>
      </c>
      <c r="L565" s="59">
        <v>0</v>
      </c>
      <c r="M565" s="59">
        <v>0</v>
      </c>
      <c r="N565" s="59">
        <v>0</v>
      </c>
      <c r="O565" s="59">
        <v>5</v>
      </c>
      <c r="P565" s="59">
        <v>0</v>
      </c>
      <c r="Q565" s="59">
        <v>0</v>
      </c>
      <c r="R565" s="59">
        <v>0</v>
      </c>
      <c r="S565" s="35">
        <f>SUM(C565:R565)</f>
        <v>49</v>
      </c>
      <c r="T565" s="59"/>
      <c r="U565" s="59">
        <v>17</v>
      </c>
      <c r="V565" s="59">
        <v>15</v>
      </c>
      <c r="W565" s="59">
        <v>0</v>
      </c>
      <c r="X565" s="5">
        <v>0</v>
      </c>
      <c r="Y565" s="10"/>
      <c r="Z565" s="61">
        <v>2178560</v>
      </c>
      <c r="AA565" s="219"/>
      <c r="AB565" s="219"/>
      <c r="AC565" s="61">
        <v>513198</v>
      </c>
      <c r="AD565" s="59"/>
      <c r="AE565" s="35">
        <f t="shared" si="267"/>
        <v>513198</v>
      </c>
      <c r="AF565" s="10"/>
      <c r="AG565" s="61">
        <v>57</v>
      </c>
      <c r="AH565" s="59">
        <v>58</v>
      </c>
      <c r="AI565" s="59">
        <v>128</v>
      </c>
      <c r="AJ565" s="62"/>
      <c r="AK565" s="10"/>
      <c r="AL565" s="8"/>
      <c r="AM565" s="10"/>
      <c r="AN565" s="35"/>
      <c r="AO565" s="279"/>
      <c r="AP565" s="279"/>
      <c r="AQ565" s="281"/>
      <c r="AR565" s="59">
        <v>140</v>
      </c>
      <c r="AS565" s="59">
        <v>52</v>
      </c>
      <c r="AT565" s="59">
        <v>97</v>
      </c>
      <c r="AU565" s="59">
        <v>19</v>
      </c>
      <c r="AV565" s="62">
        <v>195</v>
      </c>
      <c r="AW565" s="10"/>
      <c r="AX565" s="326">
        <v>38912</v>
      </c>
      <c r="AY565" s="5">
        <v>-1</v>
      </c>
      <c r="AZ565" s="10"/>
      <c r="BA565" s="61"/>
      <c r="BB565" s="59"/>
      <c r="BC565" s="59"/>
      <c r="BD565" s="59"/>
      <c r="BE565" s="59"/>
      <c r="BF565" s="59"/>
      <c r="BG565" s="59"/>
      <c r="BH565" s="351"/>
      <c r="BI565" s="59"/>
      <c r="BJ565" s="342"/>
      <c r="BK565" s="335"/>
      <c r="BL565" s="320"/>
      <c r="BM565" s="62"/>
      <c r="BN565" s="10"/>
      <c r="BO565" s="8"/>
      <c r="BP565" s="62"/>
      <c r="BQ565" s="10"/>
      <c r="BR565" s="29">
        <v>2007</v>
      </c>
      <c r="BS565" s="64">
        <v>2006</v>
      </c>
      <c r="BT565" s="14">
        <v>14</v>
      </c>
      <c r="BU565" s="10"/>
      <c r="BV565" s="8">
        <v>1</v>
      </c>
      <c r="BW565" s="10">
        <v>0</v>
      </c>
      <c r="BX565" s="59">
        <v>0</v>
      </c>
      <c r="BY565" s="59">
        <v>0</v>
      </c>
      <c r="BZ565" s="59">
        <v>0</v>
      </c>
      <c r="CA565" s="59">
        <v>0</v>
      </c>
      <c r="CB565" s="59">
        <v>0</v>
      </c>
      <c r="CC565" s="221"/>
      <c r="CD565" s="59">
        <v>9</v>
      </c>
      <c r="CE565" s="59">
        <v>0</v>
      </c>
      <c r="CF565" s="222">
        <v>0</v>
      </c>
      <c r="CG565" s="59">
        <v>0</v>
      </c>
      <c r="CH565" s="59">
        <v>0</v>
      </c>
      <c r="CI565" s="59">
        <v>0</v>
      </c>
      <c r="CJ565" s="59">
        <v>10</v>
      </c>
      <c r="CK565" s="59"/>
      <c r="CL565" s="59">
        <v>5</v>
      </c>
      <c r="CM565" s="59">
        <v>0</v>
      </c>
      <c r="CN565" s="59">
        <v>0</v>
      </c>
      <c r="CO565" s="59">
        <v>1</v>
      </c>
      <c r="CP565" s="317"/>
      <c r="CQ565" s="59">
        <v>0</v>
      </c>
      <c r="CR565" s="59"/>
      <c r="CS565" s="59">
        <v>0</v>
      </c>
      <c r="CT565" s="59">
        <v>4</v>
      </c>
      <c r="CU565" s="222">
        <v>0</v>
      </c>
      <c r="CV565" s="59">
        <v>3</v>
      </c>
      <c r="CW565" s="59">
        <v>0</v>
      </c>
      <c r="CX565" s="222">
        <v>0</v>
      </c>
      <c r="CY565" s="59">
        <v>3</v>
      </c>
      <c r="CZ565" s="59">
        <v>0</v>
      </c>
      <c r="DA565" s="59">
        <v>0</v>
      </c>
      <c r="DB565" s="59">
        <v>9</v>
      </c>
      <c r="DC565" s="59">
        <v>0</v>
      </c>
      <c r="DD565" s="59">
        <v>0</v>
      </c>
      <c r="DE565" s="59">
        <v>0</v>
      </c>
      <c r="DF565" s="59">
        <v>0</v>
      </c>
      <c r="DG565" s="59">
        <v>0</v>
      </c>
      <c r="DH565" s="59">
        <v>0</v>
      </c>
      <c r="DI565" s="59">
        <v>0</v>
      </c>
      <c r="DJ565" s="59">
        <v>0</v>
      </c>
      <c r="DK565" s="59">
        <v>0</v>
      </c>
      <c r="DL565" s="59">
        <v>0</v>
      </c>
      <c r="DM565" s="59">
        <v>2</v>
      </c>
      <c r="DN565" s="59">
        <v>0</v>
      </c>
      <c r="DO565" s="59">
        <v>0</v>
      </c>
      <c r="DP565" s="59">
        <v>0</v>
      </c>
      <c r="DQ565" s="59">
        <v>0</v>
      </c>
      <c r="DR565" s="59"/>
      <c r="DS565" s="59">
        <v>2</v>
      </c>
      <c r="DT565" s="59">
        <v>0</v>
      </c>
      <c r="DU565" s="59">
        <v>0</v>
      </c>
      <c r="DV565" s="38">
        <f t="shared" ref="DV565:DV588" si="270">SUM(BV565:DU565)</f>
        <v>49</v>
      </c>
      <c r="DW565" s="14" t="str">
        <f t="shared" si="268"/>
        <v/>
      </c>
      <c r="DY565">
        <f>S565</f>
        <v>49</v>
      </c>
      <c r="DZ565" t="str">
        <f t="shared" si="269"/>
        <v/>
      </c>
    </row>
    <row r="566" spans="1:130" customFormat="1">
      <c r="A566" s="210">
        <v>38930</v>
      </c>
      <c r="B566" s="211"/>
      <c r="C566" s="8">
        <v>0</v>
      </c>
      <c r="D566" s="10">
        <v>10</v>
      </c>
      <c r="E566" s="10">
        <v>0</v>
      </c>
      <c r="F566" s="59">
        <v>0</v>
      </c>
      <c r="G566" s="59">
        <v>2</v>
      </c>
      <c r="H566" s="59">
        <v>1</v>
      </c>
      <c r="I566" s="59">
        <v>0</v>
      </c>
      <c r="J566" s="59">
        <v>12</v>
      </c>
      <c r="K566" s="59">
        <v>0</v>
      </c>
      <c r="L566" s="59">
        <v>0</v>
      </c>
      <c r="M566" s="59">
        <v>0</v>
      </c>
      <c r="N566" s="59">
        <v>0</v>
      </c>
      <c r="O566" s="59">
        <v>3</v>
      </c>
      <c r="P566" s="59">
        <v>0</v>
      </c>
      <c r="Q566" s="59">
        <v>0</v>
      </c>
      <c r="R566" s="59">
        <v>0</v>
      </c>
      <c r="S566" s="35">
        <f>SUM(C566:R566)</f>
        <v>28</v>
      </c>
      <c r="T566" s="59"/>
      <c r="U566" s="59">
        <v>9</v>
      </c>
      <c r="V566" s="59">
        <v>6</v>
      </c>
      <c r="W566" s="59">
        <v>0</v>
      </c>
      <c r="X566" s="5">
        <v>0</v>
      </c>
      <c r="Y566" s="10"/>
      <c r="Z566" s="61">
        <v>2013184</v>
      </c>
      <c r="AA566" s="100"/>
      <c r="AB566" s="100"/>
      <c r="AC566" s="61">
        <v>219831</v>
      </c>
      <c r="AD566" s="59"/>
      <c r="AE566" s="35">
        <f t="shared" si="267"/>
        <v>219831</v>
      </c>
      <c r="AF566" s="10"/>
      <c r="AG566" s="61">
        <v>29</v>
      </c>
      <c r="AH566" s="59">
        <v>60</v>
      </c>
      <c r="AI566" s="59">
        <v>102</v>
      </c>
      <c r="AJ566" s="62"/>
      <c r="AK566" s="10"/>
      <c r="AL566" s="8"/>
      <c r="AM566" s="10"/>
      <c r="AN566" s="35"/>
      <c r="AO566" s="279"/>
      <c r="AP566" s="279"/>
      <c r="AQ566" s="281"/>
      <c r="AR566" s="59">
        <v>140</v>
      </c>
      <c r="AS566" s="59">
        <v>52</v>
      </c>
      <c r="AT566" s="59">
        <v>98</v>
      </c>
      <c r="AU566" s="59">
        <v>19</v>
      </c>
      <c r="AV566" s="62">
        <v>197</v>
      </c>
      <c r="AW566" s="10"/>
      <c r="AX566" s="326">
        <v>38925</v>
      </c>
      <c r="AY566" s="5">
        <v>-5</v>
      </c>
      <c r="AZ566" s="10"/>
      <c r="BA566" s="61">
        <v>1832</v>
      </c>
      <c r="BB566" s="59">
        <v>43207160</v>
      </c>
      <c r="BC566" s="59"/>
      <c r="BD566" s="59"/>
      <c r="BE566" s="59">
        <v>55</v>
      </c>
      <c r="BF566" s="59">
        <v>4</v>
      </c>
      <c r="BG566" s="59">
        <v>0</v>
      </c>
      <c r="BH566" s="351"/>
      <c r="BI566" s="59">
        <v>2523705</v>
      </c>
      <c r="BJ566" s="342">
        <v>38939</v>
      </c>
      <c r="BK566" s="342">
        <v>38943</v>
      </c>
      <c r="BL566" s="320">
        <f>BK566-BJ566</f>
        <v>4</v>
      </c>
      <c r="BM566" s="62"/>
      <c r="BN566" s="10"/>
      <c r="BO566" s="8"/>
      <c r="BP566" s="62">
        <v>160</v>
      </c>
      <c r="BQ566" s="10"/>
      <c r="BR566" s="29">
        <v>2007</v>
      </c>
      <c r="BS566" s="64">
        <v>2006</v>
      </c>
      <c r="BT566" s="14">
        <v>15</v>
      </c>
      <c r="BU566" s="10"/>
      <c r="BV566" s="8">
        <v>0</v>
      </c>
      <c r="BW566" s="10">
        <v>0</v>
      </c>
      <c r="BX566" s="59">
        <v>0</v>
      </c>
      <c r="BY566" s="59">
        <v>0</v>
      </c>
      <c r="BZ566" s="59">
        <v>0</v>
      </c>
      <c r="CA566" s="59">
        <v>0</v>
      </c>
      <c r="CB566" s="59">
        <v>0</v>
      </c>
      <c r="CC566" s="221"/>
      <c r="CD566" s="59">
        <v>2</v>
      </c>
      <c r="CE566" s="59">
        <v>0</v>
      </c>
      <c r="CF566" s="222">
        <v>0</v>
      </c>
      <c r="CG566" s="59">
        <v>0</v>
      </c>
      <c r="CH566" s="59">
        <v>2</v>
      </c>
      <c r="CI566" s="59">
        <v>4</v>
      </c>
      <c r="CJ566" s="59">
        <v>6</v>
      </c>
      <c r="CK566" s="59"/>
      <c r="CL566" s="59">
        <v>0</v>
      </c>
      <c r="CM566" s="59">
        <v>0</v>
      </c>
      <c r="CN566" s="59">
        <v>0</v>
      </c>
      <c r="CO566" s="59">
        <v>2</v>
      </c>
      <c r="CP566" s="317"/>
      <c r="CQ566" s="59">
        <v>0</v>
      </c>
      <c r="CR566" s="59"/>
      <c r="CS566" s="59">
        <v>0</v>
      </c>
      <c r="CT566" s="59">
        <v>0</v>
      </c>
      <c r="CU566" s="222">
        <v>0</v>
      </c>
      <c r="CV566" s="59">
        <v>2</v>
      </c>
      <c r="CW566" s="59">
        <v>0</v>
      </c>
      <c r="CX566" s="222">
        <v>0</v>
      </c>
      <c r="CY566" s="59">
        <v>0</v>
      </c>
      <c r="CZ566" s="59">
        <v>0</v>
      </c>
      <c r="DA566" s="59">
        <v>0</v>
      </c>
      <c r="DB566" s="59">
        <v>1</v>
      </c>
      <c r="DC566" s="59">
        <v>0</v>
      </c>
      <c r="DD566" s="59">
        <v>0</v>
      </c>
      <c r="DE566" s="59">
        <v>0</v>
      </c>
      <c r="DF566" s="59">
        <v>0</v>
      </c>
      <c r="DG566" s="59">
        <v>4</v>
      </c>
      <c r="DH566" s="59">
        <v>0</v>
      </c>
      <c r="DI566" s="59">
        <v>1</v>
      </c>
      <c r="DJ566" s="59">
        <v>0</v>
      </c>
      <c r="DK566" s="59">
        <v>0</v>
      </c>
      <c r="DL566" s="59">
        <v>0</v>
      </c>
      <c r="DM566" s="59">
        <v>3</v>
      </c>
      <c r="DN566" s="59">
        <v>0</v>
      </c>
      <c r="DO566" s="59">
        <v>0</v>
      </c>
      <c r="DP566" s="59">
        <v>0</v>
      </c>
      <c r="DQ566" s="59">
        <v>0</v>
      </c>
      <c r="DR566" s="59"/>
      <c r="DS566" s="59">
        <v>1</v>
      </c>
      <c r="DT566" s="59">
        <v>0</v>
      </c>
      <c r="DU566" s="59">
        <v>0</v>
      </c>
      <c r="DV566" s="38">
        <f t="shared" si="270"/>
        <v>28</v>
      </c>
      <c r="DW566" s="14" t="str">
        <f t="shared" si="268"/>
        <v/>
      </c>
      <c r="DY566">
        <f>S566</f>
        <v>28</v>
      </c>
      <c r="DZ566" t="str">
        <f t="shared" si="269"/>
        <v/>
      </c>
    </row>
    <row r="567" spans="1:130" customFormat="1">
      <c r="A567" s="210">
        <v>38944</v>
      </c>
      <c r="B567" s="211"/>
      <c r="C567" s="61">
        <v>1</v>
      </c>
      <c r="D567" s="59">
        <v>8</v>
      </c>
      <c r="E567" s="59">
        <v>0</v>
      </c>
      <c r="F567" s="59">
        <v>0</v>
      </c>
      <c r="G567" s="59">
        <v>2</v>
      </c>
      <c r="H567" s="59">
        <v>0</v>
      </c>
      <c r="I567" s="59">
        <v>0</v>
      </c>
      <c r="J567" s="59">
        <v>6</v>
      </c>
      <c r="K567" s="59">
        <v>0</v>
      </c>
      <c r="L567" s="59">
        <v>0</v>
      </c>
      <c r="M567" s="59">
        <v>0</v>
      </c>
      <c r="N567" s="59">
        <v>0</v>
      </c>
      <c r="O567" s="59">
        <v>4</v>
      </c>
      <c r="P567" s="59">
        <v>0</v>
      </c>
      <c r="Q567" s="59">
        <v>0</v>
      </c>
      <c r="R567" s="59">
        <v>0</v>
      </c>
      <c r="S567" s="35">
        <f>SUM(C567:R567)</f>
        <v>21</v>
      </c>
      <c r="T567" s="59"/>
      <c r="U567" s="59">
        <v>13</v>
      </c>
      <c r="V567" s="59">
        <v>11</v>
      </c>
      <c r="W567" s="59">
        <v>0</v>
      </c>
      <c r="X567" s="62">
        <v>0</v>
      </c>
      <c r="Y567" s="59"/>
      <c r="Z567" s="61">
        <v>2171392</v>
      </c>
      <c r="AA567" s="101"/>
      <c r="AB567" s="101"/>
      <c r="AC567" s="61">
        <v>277001</v>
      </c>
      <c r="AD567" s="59"/>
      <c r="AE567" s="35">
        <f t="shared" si="267"/>
        <v>277001</v>
      </c>
      <c r="AF567" s="10"/>
      <c r="AG567" s="61">
        <v>35</v>
      </c>
      <c r="AH567" s="59">
        <v>64</v>
      </c>
      <c r="AI567" s="59">
        <v>110</v>
      </c>
      <c r="AJ567" s="62"/>
      <c r="AK567" s="10"/>
      <c r="AL567" s="8"/>
      <c r="AM567" s="10"/>
      <c r="AN567" s="35"/>
      <c r="AO567" s="279"/>
      <c r="AP567" s="279"/>
      <c r="AQ567" s="281"/>
      <c r="AR567" s="59">
        <v>140</v>
      </c>
      <c r="AS567" s="59">
        <v>53</v>
      </c>
      <c r="AT567" s="59">
        <v>97</v>
      </c>
      <c r="AU567" s="59">
        <v>19</v>
      </c>
      <c r="AV567" s="62">
        <v>198</v>
      </c>
      <c r="AW567" s="10"/>
      <c r="AX567" s="326">
        <v>38938</v>
      </c>
      <c r="AY567" s="5">
        <v>-6</v>
      </c>
      <c r="AZ567" s="10"/>
      <c r="BA567" s="61"/>
      <c r="BB567" s="59"/>
      <c r="BC567" s="59"/>
      <c r="BD567" s="59"/>
      <c r="BE567" s="59"/>
      <c r="BF567" s="59"/>
      <c r="BG567" s="59"/>
      <c r="BH567" s="351"/>
      <c r="BI567" s="59"/>
      <c r="BJ567" s="342"/>
      <c r="BK567" s="335"/>
      <c r="BL567" s="320"/>
      <c r="BM567" s="62"/>
      <c r="BN567" s="10"/>
      <c r="BO567" s="8"/>
      <c r="BP567" s="62"/>
      <c r="BQ567" s="10"/>
      <c r="BR567" s="29">
        <v>2007</v>
      </c>
      <c r="BS567" s="64">
        <v>2006</v>
      </c>
      <c r="BT567" s="14">
        <v>16</v>
      </c>
      <c r="BU567" s="10"/>
      <c r="BV567" s="8">
        <v>0</v>
      </c>
      <c r="BW567" s="59">
        <v>0</v>
      </c>
      <c r="BX567" s="59">
        <v>1</v>
      </c>
      <c r="BY567" s="59">
        <v>0</v>
      </c>
      <c r="BZ567" s="59">
        <v>0</v>
      </c>
      <c r="CA567" s="59">
        <v>0</v>
      </c>
      <c r="CB567" s="59">
        <v>0</v>
      </c>
      <c r="CC567" s="221"/>
      <c r="CD567" s="59">
        <v>6</v>
      </c>
      <c r="CE567" s="59">
        <v>6</v>
      </c>
      <c r="CF567" s="222">
        <v>0</v>
      </c>
      <c r="CG567" s="59">
        <v>0</v>
      </c>
      <c r="CH567" s="59">
        <v>0</v>
      </c>
      <c r="CI567" s="59">
        <v>0</v>
      </c>
      <c r="CJ567" s="59">
        <v>1</v>
      </c>
      <c r="CK567" s="59"/>
      <c r="CL567" s="59">
        <v>0</v>
      </c>
      <c r="CM567" s="59">
        <v>0</v>
      </c>
      <c r="CN567" s="59">
        <v>0</v>
      </c>
      <c r="CO567" s="59">
        <v>0</v>
      </c>
      <c r="CP567" s="317"/>
      <c r="CQ567" s="59">
        <v>0</v>
      </c>
      <c r="CR567" s="59"/>
      <c r="CS567" s="59">
        <v>0</v>
      </c>
      <c r="CT567" s="59">
        <v>0</v>
      </c>
      <c r="CU567" s="222">
        <v>0</v>
      </c>
      <c r="CV567" s="59">
        <v>1</v>
      </c>
      <c r="CW567" s="59">
        <v>0</v>
      </c>
      <c r="CX567" s="222">
        <v>0</v>
      </c>
      <c r="CY567" s="59">
        <v>0</v>
      </c>
      <c r="CZ567" s="59">
        <v>0</v>
      </c>
      <c r="DA567" s="59">
        <v>0</v>
      </c>
      <c r="DB567" s="59">
        <v>0</v>
      </c>
      <c r="DC567" s="59">
        <v>0</v>
      </c>
      <c r="DD567" s="59">
        <v>0</v>
      </c>
      <c r="DE567" s="59">
        <v>0</v>
      </c>
      <c r="DF567" s="59">
        <v>0</v>
      </c>
      <c r="DG567" s="59">
        <v>0</v>
      </c>
      <c r="DH567" s="59">
        <v>3</v>
      </c>
      <c r="DI567" s="59">
        <v>0</v>
      </c>
      <c r="DJ567" s="59">
        <v>0</v>
      </c>
      <c r="DK567" s="59">
        <v>0</v>
      </c>
      <c r="DL567" s="59">
        <v>0</v>
      </c>
      <c r="DM567" s="59">
        <v>1</v>
      </c>
      <c r="DN567" s="59">
        <v>0</v>
      </c>
      <c r="DO567" s="59">
        <v>1</v>
      </c>
      <c r="DP567" s="59">
        <v>0</v>
      </c>
      <c r="DQ567" s="59">
        <v>0</v>
      </c>
      <c r="DR567" s="59"/>
      <c r="DS567" s="59">
        <v>1</v>
      </c>
      <c r="DT567" s="59">
        <v>0</v>
      </c>
      <c r="DU567" s="59">
        <v>0</v>
      </c>
      <c r="DV567" s="38">
        <f t="shared" si="270"/>
        <v>21</v>
      </c>
      <c r="DW567" s="14" t="str">
        <f t="shared" si="268"/>
        <v/>
      </c>
      <c r="DY567">
        <f>S567</f>
        <v>21</v>
      </c>
      <c r="DZ567" t="str">
        <f t="shared" si="269"/>
        <v/>
      </c>
    </row>
    <row r="568" spans="1:130" customFormat="1">
      <c r="A568" s="210">
        <v>38961</v>
      </c>
      <c r="B568" s="211"/>
      <c r="C568" s="61">
        <v>4</v>
      </c>
      <c r="D568" s="59">
        <v>13</v>
      </c>
      <c r="E568" s="59">
        <v>0</v>
      </c>
      <c r="F568" s="59">
        <v>1</v>
      </c>
      <c r="G568" s="59">
        <v>1</v>
      </c>
      <c r="H568" s="59">
        <v>0</v>
      </c>
      <c r="I568" s="59">
        <v>0</v>
      </c>
      <c r="J568" s="59">
        <v>5</v>
      </c>
      <c r="K568" s="59">
        <v>1</v>
      </c>
      <c r="L568" s="59">
        <v>0</v>
      </c>
      <c r="M568" s="59">
        <v>0</v>
      </c>
      <c r="N568" s="59">
        <v>0</v>
      </c>
      <c r="O568" s="59">
        <v>2</v>
      </c>
      <c r="P568" s="59">
        <v>1</v>
      </c>
      <c r="Q568" s="59">
        <v>0</v>
      </c>
      <c r="R568" s="59">
        <v>0</v>
      </c>
      <c r="S568" s="35">
        <f>SUM(C568:R568)</f>
        <v>28</v>
      </c>
      <c r="T568" s="59"/>
      <c r="U568" s="59">
        <v>16</v>
      </c>
      <c r="V568" s="59">
        <v>14</v>
      </c>
      <c r="W568" s="59">
        <v>0</v>
      </c>
      <c r="X568" s="62">
        <v>0</v>
      </c>
      <c r="Y568" s="59"/>
      <c r="Z568" s="61">
        <v>2582016</v>
      </c>
      <c r="AA568" s="101"/>
      <c r="AB568" s="101"/>
      <c r="AC568" s="61">
        <v>442767</v>
      </c>
      <c r="AD568" s="59"/>
      <c r="AE568" s="35">
        <f t="shared" si="267"/>
        <v>442767</v>
      </c>
      <c r="AF568" s="10"/>
      <c r="AG568" s="61">
        <v>65</v>
      </c>
      <c r="AH568" s="59">
        <v>69</v>
      </c>
      <c r="AI568" s="59">
        <v>140</v>
      </c>
      <c r="AJ568" s="62"/>
      <c r="AK568" s="10"/>
      <c r="AL568" s="8"/>
      <c r="AM568" s="10"/>
      <c r="AN568" s="35"/>
      <c r="AO568" s="279"/>
      <c r="AP568" s="279"/>
      <c r="AQ568" s="281"/>
      <c r="AR568" s="59">
        <v>141</v>
      </c>
      <c r="AS568" s="59">
        <v>55</v>
      </c>
      <c r="AT568" s="59">
        <v>100</v>
      </c>
      <c r="AU568" s="59">
        <v>19</v>
      </c>
      <c r="AV568" s="62">
        <v>205</v>
      </c>
      <c r="AW568" s="10"/>
      <c r="AX568" s="326">
        <v>38959</v>
      </c>
      <c r="AY568" s="5">
        <v>-2</v>
      </c>
      <c r="AZ568" s="10"/>
      <c r="BA568" s="61">
        <v>1839</v>
      </c>
      <c r="BB568" s="59">
        <v>43850331</v>
      </c>
      <c r="BC568" s="59"/>
      <c r="BD568" s="59"/>
      <c r="BE568" s="59">
        <v>75</v>
      </c>
      <c r="BF568" s="59">
        <v>7</v>
      </c>
      <c r="BG568" s="59">
        <v>0</v>
      </c>
      <c r="BH568" s="351"/>
      <c r="BI568" s="59">
        <v>3389848</v>
      </c>
      <c r="BJ568" s="342">
        <v>38970</v>
      </c>
      <c r="BK568" s="342">
        <v>38973</v>
      </c>
      <c r="BL568" s="320">
        <f>BK568-BJ568</f>
        <v>3</v>
      </c>
      <c r="BM568" s="62"/>
      <c r="BN568" s="59"/>
      <c r="BO568" s="61"/>
      <c r="BP568" s="62">
        <v>160</v>
      </c>
      <c r="BQ568" s="10"/>
      <c r="BR568" s="29">
        <v>2007</v>
      </c>
      <c r="BS568" s="64">
        <v>2006</v>
      </c>
      <c r="BT568" s="14">
        <v>17</v>
      </c>
      <c r="BU568" s="10"/>
      <c r="BV568" s="8">
        <v>0</v>
      </c>
      <c r="BW568" s="59">
        <v>2</v>
      </c>
      <c r="BX568" s="59">
        <v>0</v>
      </c>
      <c r="BY568" s="59">
        <v>0</v>
      </c>
      <c r="BZ568" s="59">
        <v>0</v>
      </c>
      <c r="CA568" s="59">
        <v>3</v>
      </c>
      <c r="CB568" s="59">
        <v>1</v>
      </c>
      <c r="CC568" s="221"/>
      <c r="CD568" s="59">
        <v>4</v>
      </c>
      <c r="CE568" s="59">
        <v>1</v>
      </c>
      <c r="CF568" s="222">
        <v>0</v>
      </c>
      <c r="CG568" s="59">
        <v>0</v>
      </c>
      <c r="CH568" s="59">
        <v>0</v>
      </c>
      <c r="CI568" s="59">
        <v>0</v>
      </c>
      <c r="CJ568" s="59">
        <v>4</v>
      </c>
      <c r="CK568" s="59"/>
      <c r="CL568" s="59">
        <v>0</v>
      </c>
      <c r="CM568" s="59">
        <v>0</v>
      </c>
      <c r="CN568" s="59">
        <v>0</v>
      </c>
      <c r="CO568" s="59">
        <v>4</v>
      </c>
      <c r="CP568" s="317"/>
      <c r="CQ568" s="59">
        <v>0</v>
      </c>
      <c r="CR568" s="59"/>
      <c r="CS568" s="59">
        <v>0</v>
      </c>
      <c r="CT568" s="59">
        <v>5</v>
      </c>
      <c r="CU568" s="222">
        <v>0</v>
      </c>
      <c r="CV568" s="59">
        <v>1</v>
      </c>
      <c r="CW568" s="59">
        <v>0</v>
      </c>
      <c r="CX568" s="222">
        <v>0</v>
      </c>
      <c r="CY568" s="59">
        <v>0</v>
      </c>
      <c r="CZ568" s="59">
        <v>0</v>
      </c>
      <c r="DA568" s="59">
        <v>0</v>
      </c>
      <c r="DB568" s="59">
        <v>0</v>
      </c>
      <c r="DC568" s="59">
        <v>0</v>
      </c>
      <c r="DD568" s="59">
        <v>0</v>
      </c>
      <c r="DE568" s="59">
        <v>0</v>
      </c>
      <c r="DF568" s="59">
        <v>0</v>
      </c>
      <c r="DG568" s="59">
        <v>0</v>
      </c>
      <c r="DH568" s="59">
        <v>0</v>
      </c>
      <c r="DI568" s="59">
        <v>0</v>
      </c>
      <c r="DJ568" s="59">
        <v>0</v>
      </c>
      <c r="DK568" s="59">
        <v>0</v>
      </c>
      <c r="DL568" s="59">
        <v>0</v>
      </c>
      <c r="DM568" s="59">
        <v>0</v>
      </c>
      <c r="DN568" s="59">
        <v>1</v>
      </c>
      <c r="DO568" s="59">
        <v>2</v>
      </c>
      <c r="DP568" s="59">
        <v>0</v>
      </c>
      <c r="DQ568" s="59">
        <v>0</v>
      </c>
      <c r="DR568" s="59"/>
      <c r="DS568" s="59">
        <v>0</v>
      </c>
      <c r="DT568" s="59">
        <v>0</v>
      </c>
      <c r="DU568" s="59">
        <v>0</v>
      </c>
      <c r="DV568" s="38">
        <f t="shared" si="270"/>
        <v>28</v>
      </c>
      <c r="DW568" s="14" t="str">
        <f t="shared" si="268"/>
        <v/>
      </c>
      <c r="DY568">
        <f>S568</f>
        <v>28</v>
      </c>
      <c r="DZ568" t="str">
        <f t="shared" si="269"/>
        <v/>
      </c>
    </row>
    <row r="569" spans="1:130" customFormat="1">
      <c r="A569" s="210">
        <v>38975</v>
      </c>
      <c r="B569" s="211"/>
      <c r="C569" s="61">
        <v>1</v>
      </c>
      <c r="D569" s="59">
        <v>17</v>
      </c>
      <c r="E569" s="59">
        <v>0</v>
      </c>
      <c r="F569" s="59">
        <v>1</v>
      </c>
      <c r="G569" s="59">
        <v>1</v>
      </c>
      <c r="H569" s="59">
        <v>0</v>
      </c>
      <c r="I569" s="59">
        <v>0</v>
      </c>
      <c r="J569" s="59">
        <v>33</v>
      </c>
      <c r="K569" s="59">
        <v>0</v>
      </c>
      <c r="L569" s="59">
        <v>0</v>
      </c>
      <c r="M569" s="59">
        <v>0</v>
      </c>
      <c r="N569" s="59">
        <v>0</v>
      </c>
      <c r="O569" s="59">
        <v>4</v>
      </c>
      <c r="P569" s="59">
        <v>0</v>
      </c>
      <c r="Q569" s="59">
        <v>1</v>
      </c>
      <c r="R569" s="59">
        <v>0</v>
      </c>
      <c r="S569" s="35">
        <f t="shared" ref="S569:S583" si="271">SUM(C569:R569)</f>
        <v>58</v>
      </c>
      <c r="T569" s="59"/>
      <c r="U569" s="59">
        <v>13</v>
      </c>
      <c r="V569" s="59">
        <v>12</v>
      </c>
      <c r="W569" s="59">
        <v>0</v>
      </c>
      <c r="X569" s="62">
        <v>0</v>
      </c>
      <c r="Y569" s="59"/>
      <c r="Z569" s="61">
        <v>2621952</v>
      </c>
      <c r="AA569" s="101"/>
      <c r="AB569" s="101"/>
      <c r="AC569" s="61">
        <v>372351</v>
      </c>
      <c r="AD569" s="59"/>
      <c r="AE569" s="35">
        <f t="shared" si="267"/>
        <v>372351</v>
      </c>
      <c r="AF569" s="10"/>
      <c r="AG569" s="61">
        <v>61</v>
      </c>
      <c r="AH569" s="59">
        <v>71</v>
      </c>
      <c r="AI569" s="59">
        <v>144</v>
      </c>
      <c r="AJ569" s="62"/>
      <c r="AK569" s="10"/>
      <c r="AL569" s="8"/>
      <c r="AM569" s="10"/>
      <c r="AN569" s="35"/>
      <c r="AO569" s="279"/>
      <c r="AP569" s="279"/>
      <c r="AQ569" s="281"/>
      <c r="AR569" s="59">
        <v>137</v>
      </c>
      <c r="AS569" s="59">
        <v>56</v>
      </c>
      <c r="AT569" s="59">
        <v>101</v>
      </c>
      <c r="AU569" s="59">
        <v>17</v>
      </c>
      <c r="AV569" s="62">
        <v>205</v>
      </c>
      <c r="AW569" s="10"/>
      <c r="AX569" s="326">
        <v>38973</v>
      </c>
      <c r="AY569" s="5">
        <v>-2</v>
      </c>
      <c r="AZ569" s="10"/>
      <c r="BA569" s="61"/>
      <c r="BB569" s="59"/>
      <c r="BC569" s="59"/>
      <c r="BD569" s="59"/>
      <c r="BE569" s="59"/>
      <c r="BF569" s="59"/>
      <c r="BG569" s="59"/>
      <c r="BH569" s="351"/>
      <c r="BI569" s="59"/>
      <c r="BJ569" s="342"/>
      <c r="BK569" s="335"/>
      <c r="BL569" s="320"/>
      <c r="BM569" s="62"/>
      <c r="BN569" s="10"/>
      <c r="BO569" s="8"/>
      <c r="BP569" s="62"/>
      <c r="BQ569" s="10"/>
      <c r="BR569" s="29">
        <v>2007</v>
      </c>
      <c r="BS569" s="64">
        <v>2006</v>
      </c>
      <c r="BT569" s="14">
        <v>18</v>
      </c>
      <c r="BU569" s="10"/>
      <c r="BV569" s="8">
        <v>0</v>
      </c>
      <c r="BW569" s="59">
        <v>8</v>
      </c>
      <c r="BX569" s="59">
        <v>7</v>
      </c>
      <c r="BY569" s="59">
        <v>0</v>
      </c>
      <c r="BZ569" s="59">
        <v>0</v>
      </c>
      <c r="CA569" s="59">
        <v>0</v>
      </c>
      <c r="CB569" s="59">
        <v>0</v>
      </c>
      <c r="CC569" s="221"/>
      <c r="CD569" s="59">
        <v>4</v>
      </c>
      <c r="CE569" s="59">
        <v>0</v>
      </c>
      <c r="CF569" s="222">
        <v>0</v>
      </c>
      <c r="CG569" s="59">
        <v>2</v>
      </c>
      <c r="CH569" s="59">
        <v>1</v>
      </c>
      <c r="CI569" s="59">
        <v>2</v>
      </c>
      <c r="CJ569" s="59">
        <v>15</v>
      </c>
      <c r="CK569" s="59"/>
      <c r="CL569" s="59">
        <v>0</v>
      </c>
      <c r="CM569" s="59">
        <v>0</v>
      </c>
      <c r="CN569" s="59">
        <v>0</v>
      </c>
      <c r="CO569" s="59">
        <v>1</v>
      </c>
      <c r="CP569" s="317"/>
      <c r="CQ569" s="59">
        <v>0</v>
      </c>
      <c r="CR569" s="59"/>
      <c r="CS569" s="59">
        <v>0</v>
      </c>
      <c r="CT569" s="59">
        <v>4</v>
      </c>
      <c r="CU569" s="222">
        <v>0</v>
      </c>
      <c r="CV569" s="59">
        <v>4</v>
      </c>
      <c r="CW569" s="59">
        <v>0</v>
      </c>
      <c r="CX569" s="222">
        <v>0</v>
      </c>
      <c r="CY569" s="59">
        <v>0</v>
      </c>
      <c r="CZ569" s="59">
        <v>0</v>
      </c>
      <c r="DA569" s="59">
        <v>0</v>
      </c>
      <c r="DB569" s="59">
        <v>7</v>
      </c>
      <c r="DC569" s="59">
        <v>0</v>
      </c>
      <c r="DD569" s="59">
        <v>0</v>
      </c>
      <c r="DE569" s="59">
        <v>0</v>
      </c>
      <c r="DF569" s="59">
        <v>0</v>
      </c>
      <c r="DG569" s="59">
        <v>0</v>
      </c>
      <c r="DH569" s="59">
        <v>0</v>
      </c>
      <c r="DI569" s="59">
        <v>0</v>
      </c>
      <c r="DJ569" s="59">
        <v>0</v>
      </c>
      <c r="DK569" s="59">
        <v>0</v>
      </c>
      <c r="DL569" s="59">
        <v>0</v>
      </c>
      <c r="DM569" s="59">
        <v>0</v>
      </c>
      <c r="DN569" s="59">
        <v>0</v>
      </c>
      <c r="DO569" s="59">
        <v>0</v>
      </c>
      <c r="DP569" s="59">
        <v>0</v>
      </c>
      <c r="DQ569" s="59">
        <v>0</v>
      </c>
      <c r="DR569" s="59"/>
      <c r="DS569" s="59">
        <v>3</v>
      </c>
      <c r="DT569" s="59">
        <v>0</v>
      </c>
      <c r="DU569" s="59">
        <v>0</v>
      </c>
      <c r="DV569" s="38">
        <f t="shared" si="270"/>
        <v>58</v>
      </c>
      <c r="DW569" s="14" t="str">
        <f t="shared" si="268"/>
        <v/>
      </c>
      <c r="DY569">
        <f t="shared" ref="DY569:DY587" si="272">S569</f>
        <v>58</v>
      </c>
      <c r="DZ569" t="str">
        <f t="shared" si="269"/>
        <v/>
      </c>
    </row>
    <row r="570" spans="1:130" customFormat="1">
      <c r="A570" s="210">
        <v>38991</v>
      </c>
      <c r="B570" s="211"/>
      <c r="C570" s="61">
        <v>3</v>
      </c>
      <c r="D570" s="59">
        <v>37</v>
      </c>
      <c r="E570" s="59">
        <v>1</v>
      </c>
      <c r="F570" s="59">
        <v>0</v>
      </c>
      <c r="G570" s="59">
        <v>0</v>
      </c>
      <c r="H570" s="59">
        <v>0</v>
      </c>
      <c r="I570" s="59">
        <v>0</v>
      </c>
      <c r="J570" s="59">
        <v>8</v>
      </c>
      <c r="K570" s="59">
        <v>0</v>
      </c>
      <c r="L570" s="59">
        <v>0</v>
      </c>
      <c r="M570" s="59">
        <v>0</v>
      </c>
      <c r="N570" s="59">
        <v>0</v>
      </c>
      <c r="O570" s="59">
        <v>0</v>
      </c>
      <c r="P570" s="59">
        <v>2</v>
      </c>
      <c r="Q570" s="59">
        <v>0</v>
      </c>
      <c r="R570" s="59">
        <v>0</v>
      </c>
      <c r="S570" s="35">
        <f t="shared" si="271"/>
        <v>51</v>
      </c>
      <c r="T570" s="59"/>
      <c r="U570" s="59">
        <v>20</v>
      </c>
      <c r="V570" s="59">
        <v>18</v>
      </c>
      <c r="W570" s="59">
        <v>0</v>
      </c>
      <c r="X570" s="5">
        <v>1</v>
      </c>
      <c r="Y570" s="10"/>
      <c r="Z570" s="61">
        <v>3328512</v>
      </c>
      <c r="AA570" s="101"/>
      <c r="AB570" s="101"/>
      <c r="AC570" s="61">
        <v>887420</v>
      </c>
      <c r="AD570" s="59"/>
      <c r="AE570" s="35">
        <f t="shared" si="267"/>
        <v>887420</v>
      </c>
      <c r="AF570" s="10"/>
      <c r="AG570" s="61">
        <v>126</v>
      </c>
      <c r="AH570" s="59">
        <v>75</v>
      </c>
      <c r="AI570" s="59">
        <v>214</v>
      </c>
      <c r="AJ570" s="62"/>
      <c r="AK570" s="10"/>
      <c r="AL570" s="61">
        <v>0</v>
      </c>
      <c r="AM570" s="59">
        <v>50</v>
      </c>
      <c r="AN570" s="35">
        <f>SUM(AL570:AM570)</f>
        <v>50</v>
      </c>
      <c r="AO570" s="279"/>
      <c r="AP570" s="279"/>
      <c r="AQ570" s="281"/>
      <c r="AR570" s="59">
        <v>139</v>
      </c>
      <c r="AS570" s="59">
        <v>56</v>
      </c>
      <c r="AT570" s="59">
        <v>102</v>
      </c>
      <c r="AU570" s="59">
        <v>17</v>
      </c>
      <c r="AV570" s="62">
        <v>206</v>
      </c>
      <c r="AW570" s="10"/>
      <c r="AX570" s="326">
        <v>38987</v>
      </c>
      <c r="AY570" s="5">
        <v>-4</v>
      </c>
      <c r="AZ570" s="10"/>
      <c r="BA570" s="61">
        <v>1843</v>
      </c>
      <c r="BB570" s="59">
        <v>44235545</v>
      </c>
      <c r="BC570" s="59"/>
      <c r="BD570" s="59"/>
      <c r="BE570" s="59">
        <v>38</v>
      </c>
      <c r="BF570" s="59">
        <v>4</v>
      </c>
      <c r="BG570" s="59">
        <v>0</v>
      </c>
      <c r="BH570" s="351"/>
      <c r="BI570" s="59">
        <v>1802296</v>
      </c>
      <c r="BJ570" s="342">
        <v>39000</v>
      </c>
      <c r="BK570" s="342">
        <v>39001</v>
      </c>
      <c r="BL570" s="320">
        <f>BK570-BJ570</f>
        <v>1</v>
      </c>
      <c r="BM570" s="62"/>
      <c r="BN570" s="10"/>
      <c r="BO570" s="8"/>
      <c r="BP570" s="62">
        <v>160</v>
      </c>
      <c r="BQ570" s="10"/>
      <c r="BR570" s="29">
        <v>2007</v>
      </c>
      <c r="BS570" s="64">
        <v>2006</v>
      </c>
      <c r="BT570" s="14">
        <v>19</v>
      </c>
      <c r="BU570" s="10"/>
      <c r="BV570" s="8">
        <v>1</v>
      </c>
      <c r="BW570" s="59">
        <v>0</v>
      </c>
      <c r="BX570" s="59">
        <v>4</v>
      </c>
      <c r="BY570" s="59">
        <v>0</v>
      </c>
      <c r="BZ570" s="59">
        <v>0</v>
      </c>
      <c r="CA570" s="59">
        <v>0</v>
      </c>
      <c r="CB570" s="59">
        <v>0</v>
      </c>
      <c r="CC570" s="221"/>
      <c r="CD570" s="59">
        <v>3</v>
      </c>
      <c r="CE570" s="59">
        <v>0</v>
      </c>
      <c r="CF570" s="222">
        <v>0</v>
      </c>
      <c r="CG570" s="59">
        <v>0</v>
      </c>
      <c r="CH570" s="59">
        <v>0</v>
      </c>
      <c r="CI570" s="59">
        <v>4</v>
      </c>
      <c r="CJ570" s="59">
        <v>17</v>
      </c>
      <c r="CK570" s="59"/>
      <c r="CL570" s="59">
        <v>0</v>
      </c>
      <c r="CM570" s="59">
        <v>0</v>
      </c>
      <c r="CN570" s="59">
        <v>0</v>
      </c>
      <c r="CO570" s="59">
        <v>0</v>
      </c>
      <c r="CP570" s="317"/>
      <c r="CQ570" s="59">
        <v>0</v>
      </c>
      <c r="CR570" s="59"/>
      <c r="CS570" s="59">
        <v>0</v>
      </c>
      <c r="CT570" s="59">
        <v>0</v>
      </c>
      <c r="CU570" s="222">
        <v>0</v>
      </c>
      <c r="CV570" s="59">
        <v>1</v>
      </c>
      <c r="CW570" s="59">
        <v>0</v>
      </c>
      <c r="CX570" s="222">
        <v>0</v>
      </c>
      <c r="CY570" s="59">
        <v>0</v>
      </c>
      <c r="CZ570" s="59">
        <v>0</v>
      </c>
      <c r="DA570" s="59">
        <v>0</v>
      </c>
      <c r="DB570" s="59">
        <v>0</v>
      </c>
      <c r="DC570" s="59">
        <v>0</v>
      </c>
      <c r="DD570" s="59">
        <v>1</v>
      </c>
      <c r="DE570" s="59">
        <v>0</v>
      </c>
      <c r="DF570" s="59">
        <v>0</v>
      </c>
      <c r="DG570" s="59">
        <v>3</v>
      </c>
      <c r="DH570" s="59">
        <v>0</v>
      </c>
      <c r="DI570" s="59">
        <v>0</v>
      </c>
      <c r="DJ570" s="59">
        <v>1</v>
      </c>
      <c r="DK570" s="59">
        <v>0</v>
      </c>
      <c r="DL570" s="59">
        <v>0</v>
      </c>
      <c r="DM570" s="59">
        <v>16</v>
      </c>
      <c r="DN570" s="59">
        <v>0</v>
      </c>
      <c r="DO570" s="59">
        <v>0</v>
      </c>
      <c r="DP570" s="59">
        <v>0</v>
      </c>
      <c r="DQ570" s="59">
        <v>0</v>
      </c>
      <c r="DR570" s="59"/>
      <c r="DS570" s="59">
        <v>0</v>
      </c>
      <c r="DT570" s="59">
        <v>0</v>
      </c>
      <c r="DU570" s="59">
        <v>0</v>
      </c>
      <c r="DV570" s="38">
        <f t="shared" si="270"/>
        <v>51</v>
      </c>
      <c r="DW570" s="14" t="str">
        <f t="shared" si="268"/>
        <v/>
      </c>
      <c r="DY570">
        <f t="shared" si="272"/>
        <v>51</v>
      </c>
      <c r="DZ570" t="str">
        <f t="shared" si="269"/>
        <v/>
      </c>
    </row>
    <row r="571" spans="1:130" customFormat="1">
      <c r="A571" s="210">
        <v>39005</v>
      </c>
      <c r="B571" s="211"/>
      <c r="C571" s="61">
        <v>0</v>
      </c>
      <c r="D571" s="59">
        <v>27</v>
      </c>
      <c r="E571" s="59">
        <v>1</v>
      </c>
      <c r="F571" s="59">
        <v>0</v>
      </c>
      <c r="G571" s="59">
        <v>1</v>
      </c>
      <c r="H571" s="59">
        <v>0</v>
      </c>
      <c r="I571" s="59">
        <v>0</v>
      </c>
      <c r="J571" s="59">
        <v>11</v>
      </c>
      <c r="K571" s="59">
        <v>1</v>
      </c>
      <c r="L571" s="59">
        <v>0</v>
      </c>
      <c r="M571" s="59">
        <v>0</v>
      </c>
      <c r="N571" s="59">
        <v>0</v>
      </c>
      <c r="O571" s="59">
        <v>13</v>
      </c>
      <c r="P571" s="59">
        <v>1</v>
      </c>
      <c r="Q571" s="59">
        <v>0</v>
      </c>
      <c r="R571" s="59">
        <v>0</v>
      </c>
      <c r="S571" s="35">
        <f t="shared" si="271"/>
        <v>55</v>
      </c>
      <c r="T571" s="59"/>
      <c r="U571" s="59">
        <v>16</v>
      </c>
      <c r="V571" s="59">
        <v>15</v>
      </c>
      <c r="W571" s="59">
        <v>0</v>
      </c>
      <c r="X571" s="5">
        <v>0</v>
      </c>
      <c r="Y571" s="10"/>
      <c r="Z571" s="61">
        <v>2940416</v>
      </c>
      <c r="AA571" s="101"/>
      <c r="AB571" s="101"/>
      <c r="AC571" s="61">
        <v>633157</v>
      </c>
      <c r="AD571" s="59"/>
      <c r="AE571" s="35">
        <f t="shared" si="267"/>
        <v>633157</v>
      </c>
      <c r="AF571" s="10"/>
      <c r="AG571" s="61">
        <v>83</v>
      </c>
      <c r="AH571" s="59">
        <v>76</v>
      </c>
      <c r="AI571" s="59">
        <v>170</v>
      </c>
      <c r="AJ571" s="62"/>
      <c r="AK571" s="10"/>
      <c r="AL571" s="8"/>
      <c r="AM571" s="59"/>
      <c r="AN571" s="35"/>
      <c r="AO571" s="279"/>
      <c r="AP571" s="279"/>
      <c r="AQ571" s="281"/>
      <c r="AR571" s="59">
        <v>138</v>
      </c>
      <c r="AS571" s="59"/>
      <c r="AT571" s="59"/>
      <c r="AU571" s="59"/>
      <c r="AV571" s="62"/>
      <c r="AW571" s="10"/>
      <c r="AX571" s="326">
        <v>39002</v>
      </c>
      <c r="AY571" s="5">
        <v>-3</v>
      </c>
      <c r="AZ571" s="10"/>
      <c r="BA571" s="61"/>
      <c r="BB571" s="59"/>
      <c r="BC571" s="59"/>
      <c r="BD571" s="59"/>
      <c r="BE571" s="59"/>
      <c r="BF571" s="59"/>
      <c r="BG571" s="59"/>
      <c r="BH571" s="351"/>
      <c r="BI571" s="59"/>
      <c r="BJ571" s="342"/>
      <c r="BK571" s="335"/>
      <c r="BL571" s="320"/>
      <c r="BM571" s="62"/>
      <c r="BN571" s="10"/>
      <c r="BO571" s="8"/>
      <c r="BP571" s="62"/>
      <c r="BQ571" s="10"/>
      <c r="BR571" s="29">
        <v>2007</v>
      </c>
      <c r="BS571" s="64">
        <v>2006</v>
      </c>
      <c r="BT571" s="14">
        <v>20</v>
      </c>
      <c r="BU571" s="10"/>
      <c r="BV571" s="8">
        <v>2</v>
      </c>
      <c r="BW571" s="59">
        <v>0</v>
      </c>
      <c r="BX571" s="59">
        <v>13</v>
      </c>
      <c r="BY571" s="59">
        <v>1</v>
      </c>
      <c r="BZ571" s="59">
        <v>0</v>
      </c>
      <c r="CA571" s="59">
        <v>0</v>
      </c>
      <c r="CB571" s="59">
        <v>0</v>
      </c>
      <c r="CC571" s="221"/>
      <c r="CD571" s="59">
        <v>6</v>
      </c>
      <c r="CE571" s="59">
        <v>2</v>
      </c>
      <c r="CF571" s="222">
        <v>0</v>
      </c>
      <c r="CG571" s="59">
        <v>12</v>
      </c>
      <c r="CH571" s="59">
        <v>0</v>
      </c>
      <c r="CI571" s="59">
        <v>0</v>
      </c>
      <c r="CJ571" s="59">
        <v>13</v>
      </c>
      <c r="CK571" s="59"/>
      <c r="CL571" s="59">
        <v>0</v>
      </c>
      <c r="CM571" s="59">
        <v>0</v>
      </c>
      <c r="CN571" s="59">
        <v>2</v>
      </c>
      <c r="CO571" s="59">
        <v>2</v>
      </c>
      <c r="CP571" s="317"/>
      <c r="CQ571" s="59">
        <v>0</v>
      </c>
      <c r="CR571" s="59"/>
      <c r="CS571" s="59">
        <v>0</v>
      </c>
      <c r="CT571" s="59">
        <v>0</v>
      </c>
      <c r="CU571" s="222">
        <v>0</v>
      </c>
      <c r="CV571" s="59">
        <v>0</v>
      </c>
      <c r="CW571" s="59">
        <v>0</v>
      </c>
      <c r="CX571" s="222">
        <v>0</v>
      </c>
      <c r="CY571" s="59">
        <v>0</v>
      </c>
      <c r="CZ571" s="59">
        <v>0</v>
      </c>
      <c r="DA571" s="59">
        <v>0</v>
      </c>
      <c r="DB571" s="59">
        <v>1</v>
      </c>
      <c r="DC571" s="59">
        <v>0</v>
      </c>
      <c r="DD571" s="59">
        <v>0</v>
      </c>
      <c r="DE571" s="59">
        <v>0</v>
      </c>
      <c r="DF571" s="59">
        <v>0</v>
      </c>
      <c r="DG571" s="59">
        <v>0</v>
      </c>
      <c r="DH571" s="59">
        <v>0</v>
      </c>
      <c r="DI571" s="59">
        <v>0</v>
      </c>
      <c r="DJ571" s="59">
        <v>0</v>
      </c>
      <c r="DK571" s="59">
        <v>0</v>
      </c>
      <c r="DL571" s="59">
        <v>0</v>
      </c>
      <c r="DM571" s="59">
        <v>0</v>
      </c>
      <c r="DN571" s="59">
        <v>0</v>
      </c>
      <c r="DO571" s="59">
        <v>1</v>
      </c>
      <c r="DP571" s="59">
        <v>0</v>
      </c>
      <c r="DQ571" s="59">
        <v>0</v>
      </c>
      <c r="DR571" s="59"/>
      <c r="DS571" s="59">
        <v>0</v>
      </c>
      <c r="DT571" s="59">
        <v>0</v>
      </c>
      <c r="DU571" s="59">
        <v>0</v>
      </c>
      <c r="DV571" s="38">
        <f t="shared" si="270"/>
        <v>55</v>
      </c>
      <c r="DW571" s="14" t="str">
        <f t="shared" si="268"/>
        <v/>
      </c>
      <c r="DY571">
        <f t="shared" si="272"/>
        <v>55</v>
      </c>
      <c r="DZ571" t="str">
        <f t="shared" si="269"/>
        <v/>
      </c>
    </row>
    <row r="572" spans="1:130" customFormat="1">
      <c r="A572" s="210">
        <v>39022</v>
      </c>
      <c r="B572" s="211"/>
      <c r="C572" s="61">
        <v>1</v>
      </c>
      <c r="D572" s="59">
        <v>16</v>
      </c>
      <c r="E572" s="59">
        <v>0</v>
      </c>
      <c r="F572" s="59">
        <v>0</v>
      </c>
      <c r="G572" s="59">
        <v>3</v>
      </c>
      <c r="H572" s="59">
        <v>0</v>
      </c>
      <c r="I572" s="59">
        <v>0</v>
      </c>
      <c r="J572" s="59">
        <v>14</v>
      </c>
      <c r="K572" s="59">
        <v>0</v>
      </c>
      <c r="L572" s="59">
        <v>0</v>
      </c>
      <c r="M572" s="59">
        <v>0</v>
      </c>
      <c r="N572" s="59">
        <v>0</v>
      </c>
      <c r="O572" s="59">
        <v>5</v>
      </c>
      <c r="P572" s="59">
        <v>0</v>
      </c>
      <c r="Q572" s="59">
        <v>0</v>
      </c>
      <c r="R572" s="59">
        <v>0</v>
      </c>
      <c r="S572" s="35">
        <f t="shared" si="271"/>
        <v>39</v>
      </c>
      <c r="T572" s="59"/>
      <c r="U572" s="59">
        <v>5</v>
      </c>
      <c r="V572" s="59">
        <v>5</v>
      </c>
      <c r="W572" s="59">
        <v>0</v>
      </c>
      <c r="X572" s="5">
        <v>0</v>
      </c>
      <c r="Y572" s="10"/>
      <c r="Z572" s="61">
        <v>3086336</v>
      </c>
      <c r="AA572" s="101"/>
      <c r="AB572" s="101"/>
      <c r="AC572" s="61">
        <v>623078</v>
      </c>
      <c r="AD572" s="59"/>
      <c r="AE572" s="35">
        <f t="shared" si="267"/>
        <v>623078</v>
      </c>
      <c r="AF572" s="10"/>
      <c r="AG572" s="61">
        <v>84</v>
      </c>
      <c r="AH572" s="59">
        <v>79</v>
      </c>
      <c r="AI572" s="59">
        <v>176</v>
      </c>
      <c r="AJ572" s="62"/>
      <c r="AK572" s="10"/>
      <c r="AL572" s="8"/>
      <c r="AM572" s="10"/>
      <c r="AN572" s="35"/>
      <c r="AO572" s="279"/>
      <c r="AP572" s="279"/>
      <c r="AQ572" s="281"/>
      <c r="AR572" s="59">
        <v>139</v>
      </c>
      <c r="AS572" s="59">
        <v>55</v>
      </c>
      <c r="AT572" s="59">
        <v>98</v>
      </c>
      <c r="AU572" s="59">
        <v>17</v>
      </c>
      <c r="AV572" s="62">
        <v>200</v>
      </c>
      <c r="AW572" s="10"/>
      <c r="AX572" s="326">
        <v>39017</v>
      </c>
      <c r="AY572" s="5">
        <v>-5</v>
      </c>
      <c r="AZ572" s="10"/>
      <c r="BA572" s="61">
        <v>1847</v>
      </c>
      <c r="BB572" s="6">
        <v>44593719</v>
      </c>
      <c r="BC572" s="59"/>
      <c r="BD572" s="59"/>
      <c r="BE572" s="59">
        <v>48</v>
      </c>
      <c r="BF572" s="59">
        <v>4</v>
      </c>
      <c r="BG572" s="59">
        <v>0</v>
      </c>
      <c r="BH572" s="351"/>
      <c r="BI572" s="59">
        <v>2022547</v>
      </c>
      <c r="BJ572" s="342">
        <v>39031</v>
      </c>
      <c r="BK572" s="342">
        <v>39030</v>
      </c>
      <c r="BL572" s="320">
        <f>BK572-BJ572</f>
        <v>-1</v>
      </c>
      <c r="BM572" s="62"/>
      <c r="BN572" s="10"/>
      <c r="BO572" s="8"/>
      <c r="BP572" s="62">
        <v>160</v>
      </c>
      <c r="BQ572" s="10"/>
      <c r="BR572" s="29">
        <v>2007</v>
      </c>
      <c r="BS572" s="64">
        <v>2006</v>
      </c>
      <c r="BT572" s="14">
        <v>21</v>
      </c>
      <c r="BU572" s="10"/>
      <c r="BV572" s="8">
        <v>0</v>
      </c>
      <c r="BW572" s="59">
        <v>2</v>
      </c>
      <c r="BX572" s="59">
        <v>0</v>
      </c>
      <c r="BY572" s="59">
        <v>0</v>
      </c>
      <c r="BZ572" s="59">
        <v>0</v>
      </c>
      <c r="CA572" s="59">
        <v>3</v>
      </c>
      <c r="CB572" s="59">
        <v>0</v>
      </c>
      <c r="CC572" s="221"/>
      <c r="CD572" s="59">
        <v>4</v>
      </c>
      <c r="CE572" s="59">
        <v>2</v>
      </c>
      <c r="CF572" s="222">
        <v>0</v>
      </c>
      <c r="CG572" s="59">
        <v>0</v>
      </c>
      <c r="CH572" s="59">
        <v>0</v>
      </c>
      <c r="CI572" s="59">
        <v>3</v>
      </c>
      <c r="CJ572" s="59">
        <v>7</v>
      </c>
      <c r="CK572" s="59"/>
      <c r="CL572" s="59">
        <v>0</v>
      </c>
      <c r="CM572" s="59">
        <v>0</v>
      </c>
      <c r="CN572" s="59">
        <v>0</v>
      </c>
      <c r="CO572" s="59">
        <v>2</v>
      </c>
      <c r="CP572" s="317"/>
      <c r="CQ572" s="59">
        <v>0</v>
      </c>
      <c r="CR572" s="59"/>
      <c r="CS572" s="59">
        <v>0</v>
      </c>
      <c r="CT572" s="59">
        <v>0</v>
      </c>
      <c r="CU572" s="222">
        <v>0</v>
      </c>
      <c r="CV572" s="59">
        <v>2</v>
      </c>
      <c r="CW572" s="59">
        <v>0</v>
      </c>
      <c r="CX572" s="222">
        <v>0</v>
      </c>
      <c r="CY572" s="59">
        <v>3</v>
      </c>
      <c r="CZ572" s="59">
        <v>0</v>
      </c>
      <c r="DA572" s="59">
        <v>0</v>
      </c>
      <c r="DB572" s="59">
        <v>5</v>
      </c>
      <c r="DC572" s="59">
        <v>0</v>
      </c>
      <c r="DD572" s="59">
        <v>0</v>
      </c>
      <c r="DE572" s="59">
        <v>0</v>
      </c>
      <c r="DF572" s="59">
        <v>0</v>
      </c>
      <c r="DG572" s="59">
        <v>2</v>
      </c>
      <c r="DH572" s="59">
        <v>0</v>
      </c>
      <c r="DI572" s="59">
        <v>0</v>
      </c>
      <c r="DJ572" s="59">
        <v>0</v>
      </c>
      <c r="DK572" s="59">
        <v>0</v>
      </c>
      <c r="DL572" s="59">
        <v>0</v>
      </c>
      <c r="DM572" s="59">
        <v>4</v>
      </c>
      <c r="DN572" s="59">
        <v>0</v>
      </c>
      <c r="DO572" s="59">
        <v>0</v>
      </c>
      <c r="DP572" s="59">
        <v>0</v>
      </c>
      <c r="DQ572" s="59">
        <v>0</v>
      </c>
      <c r="DR572" s="59"/>
      <c r="DS572" s="59">
        <v>0</v>
      </c>
      <c r="DT572" s="59">
        <v>0</v>
      </c>
      <c r="DU572" s="59">
        <v>0</v>
      </c>
      <c r="DV572" s="38">
        <f t="shared" si="270"/>
        <v>39</v>
      </c>
      <c r="DW572" s="14" t="str">
        <f t="shared" si="268"/>
        <v/>
      </c>
      <c r="DY572">
        <f t="shared" si="272"/>
        <v>39</v>
      </c>
      <c r="DZ572" t="str">
        <f t="shared" si="269"/>
        <v/>
      </c>
    </row>
    <row r="573" spans="1:130" customFormat="1">
      <c r="A573" s="210">
        <v>39036</v>
      </c>
      <c r="B573" s="211"/>
      <c r="C573" s="61">
        <v>5</v>
      </c>
      <c r="D573" s="59">
        <v>20</v>
      </c>
      <c r="E573" s="59">
        <v>3</v>
      </c>
      <c r="F573" s="59">
        <v>0</v>
      </c>
      <c r="G573" s="59">
        <v>0</v>
      </c>
      <c r="H573" s="59">
        <v>0</v>
      </c>
      <c r="I573" s="59">
        <v>0</v>
      </c>
      <c r="J573" s="59">
        <v>5</v>
      </c>
      <c r="K573" s="59">
        <v>1</v>
      </c>
      <c r="L573" s="59">
        <v>0</v>
      </c>
      <c r="M573" s="59">
        <v>0</v>
      </c>
      <c r="N573" s="59">
        <v>0</v>
      </c>
      <c r="O573" s="59">
        <v>21</v>
      </c>
      <c r="P573" s="59">
        <v>0</v>
      </c>
      <c r="Q573" s="59">
        <v>0</v>
      </c>
      <c r="R573" s="59">
        <v>0</v>
      </c>
      <c r="S573" s="35">
        <f t="shared" si="271"/>
        <v>55</v>
      </c>
      <c r="T573" s="59"/>
      <c r="U573" s="59">
        <v>11</v>
      </c>
      <c r="V573" s="59">
        <v>10</v>
      </c>
      <c r="W573" s="59">
        <v>0</v>
      </c>
      <c r="X573" s="5">
        <v>0</v>
      </c>
      <c r="Y573" s="10"/>
      <c r="Z573" s="61">
        <v>2942464</v>
      </c>
      <c r="AA573" s="101"/>
      <c r="AB573" s="101"/>
      <c r="AC573" s="61">
        <v>417803</v>
      </c>
      <c r="AD573" s="59"/>
      <c r="AE573" s="35">
        <f t="shared" si="267"/>
        <v>417803</v>
      </c>
      <c r="AF573" s="10"/>
      <c r="AG573" s="61">
        <v>50</v>
      </c>
      <c r="AH573" s="59">
        <v>85</v>
      </c>
      <c r="AI573" s="59">
        <v>152</v>
      </c>
      <c r="AJ573" s="62"/>
      <c r="AK573" s="10"/>
      <c r="AL573" s="8"/>
      <c r="AM573" s="10"/>
      <c r="AN573" s="35"/>
      <c r="AO573" s="279"/>
      <c r="AP573" s="279"/>
      <c r="AQ573" s="281"/>
      <c r="AR573" s="59">
        <v>139</v>
      </c>
      <c r="AS573" s="59">
        <v>55</v>
      </c>
      <c r="AT573" s="59">
        <v>99</v>
      </c>
      <c r="AU573" s="59">
        <v>17</v>
      </c>
      <c r="AV573" s="62">
        <v>201</v>
      </c>
      <c r="AW573" s="10"/>
      <c r="AX573" s="326">
        <v>39034</v>
      </c>
      <c r="AY573" s="5">
        <v>-2</v>
      </c>
      <c r="AZ573" s="10"/>
      <c r="BA573" s="61"/>
      <c r="BB573" s="59"/>
      <c r="BC573" s="59"/>
      <c r="BD573" s="59"/>
      <c r="BE573" s="59"/>
      <c r="BF573" s="59"/>
      <c r="BG573" s="59"/>
      <c r="BH573" s="351"/>
      <c r="BI573" s="102"/>
      <c r="BJ573" s="344"/>
      <c r="BK573" s="335"/>
      <c r="BL573" s="321"/>
      <c r="BM573" s="62"/>
      <c r="BN573" s="10"/>
      <c r="BO573" s="8"/>
      <c r="BP573" s="62"/>
      <c r="BQ573" s="10"/>
      <c r="BR573" s="29">
        <v>2007</v>
      </c>
      <c r="BS573" s="64">
        <v>2006</v>
      </c>
      <c r="BT573" s="14">
        <v>22</v>
      </c>
      <c r="BU573" s="10"/>
      <c r="BV573" s="8">
        <v>2</v>
      </c>
      <c r="BW573" s="59">
        <v>7</v>
      </c>
      <c r="BX573" s="59">
        <v>0</v>
      </c>
      <c r="BY573" s="59">
        <v>0</v>
      </c>
      <c r="BZ573" s="59">
        <v>0</v>
      </c>
      <c r="CA573" s="59">
        <v>0</v>
      </c>
      <c r="CB573" s="59">
        <v>0</v>
      </c>
      <c r="CC573" s="221"/>
      <c r="CD573" s="59">
        <v>7</v>
      </c>
      <c r="CE573" s="59">
        <v>2</v>
      </c>
      <c r="CF573" s="222">
        <v>0</v>
      </c>
      <c r="CG573" s="59">
        <v>0</v>
      </c>
      <c r="CH573" s="59">
        <v>0</v>
      </c>
      <c r="CI573" s="59">
        <v>5</v>
      </c>
      <c r="CJ573" s="59">
        <v>4</v>
      </c>
      <c r="CK573" s="59"/>
      <c r="CL573" s="59">
        <v>0</v>
      </c>
      <c r="CM573" s="59">
        <v>3</v>
      </c>
      <c r="CN573" s="59">
        <v>0</v>
      </c>
      <c r="CO573" s="59">
        <v>5</v>
      </c>
      <c r="CP573" s="317"/>
      <c r="CQ573" s="59">
        <v>0</v>
      </c>
      <c r="CR573" s="59"/>
      <c r="CS573" s="59">
        <v>0</v>
      </c>
      <c r="CT573" s="59">
        <v>3</v>
      </c>
      <c r="CU573" s="222">
        <v>0</v>
      </c>
      <c r="CV573" s="59">
        <v>2</v>
      </c>
      <c r="CW573" s="59">
        <v>0</v>
      </c>
      <c r="CX573" s="222">
        <v>0</v>
      </c>
      <c r="CY573" s="59">
        <v>0</v>
      </c>
      <c r="CZ573" s="59">
        <v>0</v>
      </c>
      <c r="DA573" s="59">
        <v>0</v>
      </c>
      <c r="DB573" s="59">
        <v>4</v>
      </c>
      <c r="DC573" s="59">
        <v>0</v>
      </c>
      <c r="DD573" s="59">
        <v>0</v>
      </c>
      <c r="DE573" s="59">
        <v>1</v>
      </c>
      <c r="DF573" s="59">
        <v>0</v>
      </c>
      <c r="DG573" s="59">
        <v>2</v>
      </c>
      <c r="DH573" s="59">
        <v>0</v>
      </c>
      <c r="DI573" s="59">
        <v>3</v>
      </c>
      <c r="DJ573" s="59">
        <v>0</v>
      </c>
      <c r="DK573" s="59">
        <v>0</v>
      </c>
      <c r="DL573" s="59">
        <v>0</v>
      </c>
      <c r="DM573" s="59">
        <v>1</v>
      </c>
      <c r="DN573" s="59">
        <v>1</v>
      </c>
      <c r="DO573" s="59">
        <v>3</v>
      </c>
      <c r="DP573" s="59">
        <v>0</v>
      </c>
      <c r="DQ573" s="59">
        <v>0</v>
      </c>
      <c r="DR573" s="59"/>
      <c r="DS573" s="59">
        <v>0</v>
      </c>
      <c r="DT573" s="59">
        <v>0</v>
      </c>
      <c r="DU573" s="59">
        <v>0</v>
      </c>
      <c r="DV573" s="38">
        <f t="shared" si="270"/>
        <v>55</v>
      </c>
      <c r="DW573" s="14" t="str">
        <f t="shared" si="268"/>
        <v/>
      </c>
      <c r="DY573">
        <f t="shared" si="272"/>
        <v>55</v>
      </c>
      <c r="DZ573" t="str">
        <f t="shared" si="269"/>
        <v/>
      </c>
    </row>
    <row r="574" spans="1:130" customFormat="1">
      <c r="A574" s="210">
        <v>39052</v>
      </c>
      <c r="B574" s="211"/>
      <c r="C574" s="61">
        <v>5</v>
      </c>
      <c r="D574" s="59">
        <v>30</v>
      </c>
      <c r="E574" s="59">
        <v>0</v>
      </c>
      <c r="F574" s="59">
        <v>0</v>
      </c>
      <c r="G574" s="59">
        <v>1</v>
      </c>
      <c r="H574" s="59">
        <v>0</v>
      </c>
      <c r="I574" s="59">
        <v>0</v>
      </c>
      <c r="J574" s="59">
        <v>4</v>
      </c>
      <c r="K574" s="59">
        <v>0</v>
      </c>
      <c r="L574" s="59">
        <v>1</v>
      </c>
      <c r="M574" s="59">
        <v>0</v>
      </c>
      <c r="N574" s="59">
        <v>0</v>
      </c>
      <c r="O574" s="59">
        <v>5</v>
      </c>
      <c r="P574" s="59">
        <v>0</v>
      </c>
      <c r="Q574" s="59">
        <v>1</v>
      </c>
      <c r="R574" s="59">
        <v>0</v>
      </c>
      <c r="S574" s="35">
        <f t="shared" si="271"/>
        <v>47</v>
      </c>
      <c r="T574" s="59"/>
      <c r="U574" s="59">
        <v>10</v>
      </c>
      <c r="V574" s="59">
        <v>10</v>
      </c>
      <c r="W574" s="59">
        <v>0</v>
      </c>
      <c r="X574" s="5">
        <v>0</v>
      </c>
      <c r="Y574" s="10"/>
      <c r="Z574" s="61">
        <v>3412992</v>
      </c>
      <c r="AA574" s="101"/>
      <c r="AB574" s="101"/>
      <c r="AC574" s="61">
        <v>626517</v>
      </c>
      <c r="AD574" s="59"/>
      <c r="AE574" s="35">
        <f t="shared" si="267"/>
        <v>626517</v>
      </c>
      <c r="AF574" s="10"/>
      <c r="AG574" s="61">
        <v>91</v>
      </c>
      <c r="AH574" s="59">
        <v>90</v>
      </c>
      <c r="AI574" s="59">
        <v>192</v>
      </c>
      <c r="AJ574" s="62"/>
      <c r="AK574" s="10"/>
      <c r="AL574" s="8"/>
      <c r="AM574" s="10"/>
      <c r="AN574" s="35"/>
      <c r="AO574" s="279"/>
      <c r="AP574" s="279"/>
      <c r="AQ574" s="281"/>
      <c r="AR574" s="59">
        <v>139</v>
      </c>
      <c r="AS574" s="59">
        <v>56</v>
      </c>
      <c r="AT574" s="59">
        <v>101</v>
      </c>
      <c r="AU574" s="59">
        <v>17</v>
      </c>
      <c r="AV574" s="62">
        <v>205</v>
      </c>
      <c r="AW574" s="10"/>
      <c r="AX574" s="326">
        <v>39050</v>
      </c>
      <c r="AY574" s="5">
        <v>-2</v>
      </c>
      <c r="AZ574" s="10"/>
      <c r="BA574" s="61">
        <v>1848</v>
      </c>
      <c r="BB574" s="59">
        <v>45424451</v>
      </c>
      <c r="BC574" s="59"/>
      <c r="BD574" s="59"/>
      <c r="BE574" s="59">
        <v>102</v>
      </c>
      <c r="BF574" s="59">
        <v>3</v>
      </c>
      <c r="BG574" s="59">
        <v>1</v>
      </c>
      <c r="BH574" s="351"/>
      <c r="BI574" s="59">
        <v>4375913</v>
      </c>
      <c r="BJ574" s="342">
        <v>39061</v>
      </c>
      <c r="BK574" s="342">
        <v>39069</v>
      </c>
      <c r="BL574" s="320">
        <f>BK574-BJ574</f>
        <v>8</v>
      </c>
      <c r="BM574" s="62"/>
      <c r="BN574" s="10"/>
      <c r="BO574" s="8"/>
      <c r="BP574" s="62">
        <v>160</v>
      </c>
      <c r="BQ574" s="10"/>
      <c r="BR574" s="29">
        <v>2007</v>
      </c>
      <c r="BS574" s="64">
        <v>2006</v>
      </c>
      <c r="BT574" s="14">
        <v>23</v>
      </c>
      <c r="BU574" s="10"/>
      <c r="BV574" s="8">
        <v>0</v>
      </c>
      <c r="BW574" s="59">
        <v>0</v>
      </c>
      <c r="BX574" s="59">
        <v>0</v>
      </c>
      <c r="BY574" s="59">
        <v>0</v>
      </c>
      <c r="BZ574" s="59">
        <v>0</v>
      </c>
      <c r="CA574" s="59">
        <v>0</v>
      </c>
      <c r="CB574" s="59">
        <v>0</v>
      </c>
      <c r="CC574" s="221"/>
      <c r="CD574" s="59">
        <v>5</v>
      </c>
      <c r="CE574" s="59">
        <v>1</v>
      </c>
      <c r="CF574" s="222">
        <v>0</v>
      </c>
      <c r="CG574" s="59">
        <v>0</v>
      </c>
      <c r="CH574" s="59">
        <v>1</v>
      </c>
      <c r="CI574" s="59">
        <v>0</v>
      </c>
      <c r="CJ574" s="59">
        <v>26</v>
      </c>
      <c r="CK574" s="59"/>
      <c r="CL574" s="59">
        <v>0</v>
      </c>
      <c r="CM574" s="59">
        <v>1</v>
      </c>
      <c r="CN574" s="59">
        <v>0</v>
      </c>
      <c r="CO574" s="59">
        <v>1</v>
      </c>
      <c r="CP574" s="317"/>
      <c r="CQ574" s="59">
        <v>0</v>
      </c>
      <c r="CR574" s="59"/>
      <c r="CS574" s="59">
        <v>0</v>
      </c>
      <c r="CT574" s="59">
        <v>0</v>
      </c>
      <c r="CU574" s="222">
        <v>0</v>
      </c>
      <c r="CV574" s="59">
        <v>0</v>
      </c>
      <c r="CW574" s="59">
        <v>0</v>
      </c>
      <c r="CX574" s="222">
        <v>0</v>
      </c>
      <c r="CY574" s="59">
        <v>0</v>
      </c>
      <c r="CZ574" s="59">
        <v>0</v>
      </c>
      <c r="DA574" s="59">
        <v>2</v>
      </c>
      <c r="DB574" s="59">
        <v>2</v>
      </c>
      <c r="DC574" s="59">
        <v>0</v>
      </c>
      <c r="DD574" s="59">
        <v>0</v>
      </c>
      <c r="DE574" s="59">
        <v>0</v>
      </c>
      <c r="DF574" s="59">
        <v>0</v>
      </c>
      <c r="DG574" s="59">
        <v>5</v>
      </c>
      <c r="DH574" s="59">
        <v>0</v>
      </c>
      <c r="DI574" s="59">
        <v>1</v>
      </c>
      <c r="DJ574" s="59">
        <v>1</v>
      </c>
      <c r="DK574" s="59">
        <v>0</v>
      </c>
      <c r="DL574" s="59">
        <v>0</v>
      </c>
      <c r="DM574" s="59">
        <v>1</v>
      </c>
      <c r="DN574" s="59">
        <v>0</v>
      </c>
      <c r="DO574" s="59">
        <v>0</v>
      </c>
      <c r="DP574" s="59">
        <v>0</v>
      </c>
      <c r="DQ574" s="59">
        <v>0</v>
      </c>
      <c r="DR574" s="59"/>
      <c r="DS574" s="59">
        <v>0</v>
      </c>
      <c r="DT574" s="59">
        <v>0</v>
      </c>
      <c r="DU574" s="59">
        <v>0</v>
      </c>
      <c r="DV574" s="38">
        <f t="shared" si="270"/>
        <v>47</v>
      </c>
      <c r="DW574" s="14" t="str">
        <f t="shared" si="268"/>
        <v/>
      </c>
      <c r="DY574">
        <f t="shared" si="272"/>
        <v>47</v>
      </c>
      <c r="DZ574" t="str">
        <f t="shared" si="269"/>
        <v/>
      </c>
    </row>
    <row r="575" spans="1:130" customFormat="1">
      <c r="A575" s="210">
        <v>39066</v>
      </c>
      <c r="B575" s="211"/>
      <c r="C575" s="61">
        <v>4</v>
      </c>
      <c r="D575" s="59">
        <v>13</v>
      </c>
      <c r="E575" s="59">
        <v>0</v>
      </c>
      <c r="F575" s="59">
        <v>0</v>
      </c>
      <c r="G575" s="59">
        <v>2</v>
      </c>
      <c r="H575" s="59">
        <v>1</v>
      </c>
      <c r="I575" s="59">
        <v>0</v>
      </c>
      <c r="J575" s="59">
        <v>40</v>
      </c>
      <c r="K575" s="59">
        <v>0</v>
      </c>
      <c r="L575" s="59">
        <v>0</v>
      </c>
      <c r="M575" s="59">
        <v>0</v>
      </c>
      <c r="N575" s="59">
        <v>0</v>
      </c>
      <c r="O575" s="59">
        <v>11</v>
      </c>
      <c r="P575" s="59">
        <v>2</v>
      </c>
      <c r="Q575" s="59">
        <v>1</v>
      </c>
      <c r="R575" s="59">
        <v>0</v>
      </c>
      <c r="S575" s="35">
        <f t="shared" si="271"/>
        <v>74</v>
      </c>
      <c r="T575" s="59"/>
      <c r="U575" s="59">
        <v>15</v>
      </c>
      <c r="V575" s="59">
        <v>15</v>
      </c>
      <c r="W575" s="59">
        <v>0</v>
      </c>
      <c r="X575" s="5">
        <v>0</v>
      </c>
      <c r="Y575" s="59"/>
      <c r="Z575" s="61">
        <v>3405312</v>
      </c>
      <c r="AA575" s="101"/>
      <c r="AB575" s="101"/>
      <c r="AC575" s="61">
        <v>377418</v>
      </c>
      <c r="AD575" s="59"/>
      <c r="AE575" s="35">
        <f t="shared" si="267"/>
        <v>377418</v>
      </c>
      <c r="AF575" s="10"/>
      <c r="AG575" s="61">
        <v>63</v>
      </c>
      <c r="AH575" s="59">
        <v>97</v>
      </c>
      <c r="AI575" s="59">
        <v>174</v>
      </c>
      <c r="AJ575" s="62"/>
      <c r="AK575" s="10"/>
      <c r="AL575" s="8"/>
      <c r="AM575" s="10"/>
      <c r="AN575" s="35"/>
      <c r="AO575" s="279"/>
      <c r="AP575" s="279"/>
      <c r="AQ575" s="281"/>
      <c r="AR575" s="59">
        <v>137</v>
      </c>
      <c r="AS575" s="59">
        <v>56</v>
      </c>
      <c r="AT575" s="59">
        <v>102</v>
      </c>
      <c r="AU575" s="59">
        <v>17</v>
      </c>
      <c r="AV575" s="62">
        <v>206</v>
      </c>
      <c r="AW575" s="10"/>
      <c r="AX575" s="326">
        <v>39065</v>
      </c>
      <c r="AY575" s="5">
        <v>-1</v>
      </c>
      <c r="AZ575" s="10"/>
      <c r="BA575" s="61"/>
      <c r="BB575" s="59"/>
      <c r="BC575" s="59"/>
      <c r="BD575" s="59"/>
      <c r="BE575" s="59"/>
      <c r="BF575" s="59"/>
      <c r="BG575" s="59"/>
      <c r="BH575" s="351"/>
      <c r="BI575" s="59"/>
      <c r="BJ575" s="342"/>
      <c r="BK575" s="335"/>
      <c r="BL575" s="320"/>
      <c r="BM575" s="62"/>
      <c r="BN575" s="10"/>
      <c r="BO575" s="8"/>
      <c r="BP575" s="62"/>
      <c r="BQ575" s="10"/>
      <c r="BR575" s="29">
        <v>2007</v>
      </c>
      <c r="BS575" s="64">
        <v>2006</v>
      </c>
      <c r="BT575" s="14">
        <v>24</v>
      </c>
      <c r="BU575" s="10"/>
      <c r="BV575" s="8">
        <v>3</v>
      </c>
      <c r="BW575" s="59">
        <v>0</v>
      </c>
      <c r="BX575" s="59">
        <v>3</v>
      </c>
      <c r="BY575" s="59">
        <v>1</v>
      </c>
      <c r="BZ575" s="59">
        <v>0</v>
      </c>
      <c r="CA575" s="59">
        <v>0</v>
      </c>
      <c r="CB575" s="59">
        <v>0</v>
      </c>
      <c r="CC575" s="221"/>
      <c r="CD575" s="59">
        <v>3</v>
      </c>
      <c r="CE575" s="59">
        <v>0</v>
      </c>
      <c r="CF575" s="222">
        <v>0</v>
      </c>
      <c r="CG575" s="59">
        <v>0</v>
      </c>
      <c r="CH575" s="59">
        <v>0</v>
      </c>
      <c r="CI575" s="59">
        <v>3</v>
      </c>
      <c r="CJ575" s="59">
        <v>7</v>
      </c>
      <c r="CK575" s="59"/>
      <c r="CL575" s="59">
        <v>0</v>
      </c>
      <c r="CM575" s="59">
        <v>1</v>
      </c>
      <c r="CN575" s="59">
        <v>0</v>
      </c>
      <c r="CO575" s="59">
        <v>3</v>
      </c>
      <c r="CP575" s="317"/>
      <c r="CQ575" s="59">
        <v>0</v>
      </c>
      <c r="CR575" s="59"/>
      <c r="CS575" s="59">
        <v>0</v>
      </c>
      <c r="CT575" s="59">
        <v>4</v>
      </c>
      <c r="CU575" s="222">
        <v>0</v>
      </c>
      <c r="CV575" s="59">
        <v>4</v>
      </c>
      <c r="CW575" s="59">
        <v>0</v>
      </c>
      <c r="CX575" s="222">
        <v>0</v>
      </c>
      <c r="CY575" s="59">
        <v>7</v>
      </c>
      <c r="CZ575" s="59">
        <v>0</v>
      </c>
      <c r="DA575" s="59">
        <v>0</v>
      </c>
      <c r="DB575" s="59">
        <v>1</v>
      </c>
      <c r="DC575" s="59">
        <v>0</v>
      </c>
      <c r="DD575" s="59">
        <v>0</v>
      </c>
      <c r="DE575" s="59">
        <v>0</v>
      </c>
      <c r="DF575" s="59">
        <v>0</v>
      </c>
      <c r="DG575" s="59">
        <v>2</v>
      </c>
      <c r="DH575" s="59">
        <v>1</v>
      </c>
      <c r="DI575" s="59">
        <v>0</v>
      </c>
      <c r="DJ575" s="59">
        <v>0</v>
      </c>
      <c r="DK575" s="59">
        <v>2</v>
      </c>
      <c r="DL575" s="59">
        <v>0</v>
      </c>
      <c r="DM575" s="59">
        <v>0</v>
      </c>
      <c r="DN575" s="59">
        <v>0</v>
      </c>
      <c r="DO575" s="59">
        <v>26</v>
      </c>
      <c r="DP575" s="59">
        <v>0</v>
      </c>
      <c r="DQ575" s="59">
        <v>0</v>
      </c>
      <c r="DR575" s="59"/>
      <c r="DS575" s="59">
        <v>3</v>
      </c>
      <c r="DT575" s="59">
        <v>0</v>
      </c>
      <c r="DU575" s="59">
        <v>0</v>
      </c>
      <c r="DV575" s="38">
        <f t="shared" si="270"/>
        <v>74</v>
      </c>
      <c r="DW575" s="14" t="str">
        <f t="shared" si="268"/>
        <v/>
      </c>
      <c r="DY575">
        <f t="shared" si="272"/>
        <v>74</v>
      </c>
      <c r="DZ575" t="str">
        <f t="shared" si="269"/>
        <v/>
      </c>
    </row>
    <row r="576" spans="1:130" customFormat="1">
      <c r="A576" s="210">
        <v>39083</v>
      </c>
      <c r="B576" s="211"/>
      <c r="C576" s="8">
        <v>2</v>
      </c>
      <c r="D576" s="59">
        <v>23</v>
      </c>
      <c r="E576" s="59">
        <v>1</v>
      </c>
      <c r="F576" s="59">
        <v>0</v>
      </c>
      <c r="G576" s="59">
        <v>0</v>
      </c>
      <c r="H576" s="59">
        <v>0</v>
      </c>
      <c r="I576" s="59">
        <v>0</v>
      </c>
      <c r="J576" s="59">
        <v>7</v>
      </c>
      <c r="K576" s="59">
        <v>4</v>
      </c>
      <c r="L576" s="59">
        <v>0</v>
      </c>
      <c r="M576" s="59">
        <v>0</v>
      </c>
      <c r="N576" s="59">
        <v>0</v>
      </c>
      <c r="O576" s="59">
        <v>8</v>
      </c>
      <c r="P576" s="59">
        <v>0</v>
      </c>
      <c r="Q576" s="59">
        <v>0</v>
      </c>
      <c r="R576" s="59">
        <v>0</v>
      </c>
      <c r="S576" s="35">
        <f t="shared" si="271"/>
        <v>45</v>
      </c>
      <c r="T576" s="59"/>
      <c r="U576" s="59">
        <v>16</v>
      </c>
      <c r="V576" s="59">
        <v>14</v>
      </c>
      <c r="W576" s="59">
        <v>0</v>
      </c>
      <c r="X576" s="62">
        <v>0</v>
      </c>
      <c r="Y576" s="10"/>
      <c r="Z576" s="61">
        <v>1464832</v>
      </c>
      <c r="AA576" s="101"/>
      <c r="AB576" s="101"/>
      <c r="AC576" s="61">
        <v>377137</v>
      </c>
      <c r="AD576" s="59"/>
      <c r="AE576" s="35">
        <f t="shared" si="267"/>
        <v>377137</v>
      </c>
      <c r="AF576" s="10"/>
      <c r="AG576" s="61">
        <v>52</v>
      </c>
      <c r="AH576" s="59">
        <v>90</v>
      </c>
      <c r="AI576" s="59">
        <v>156</v>
      </c>
      <c r="AJ576" s="62"/>
      <c r="AK576" s="10"/>
      <c r="AL576" s="61">
        <v>0</v>
      </c>
      <c r="AM576" s="59">
        <v>50</v>
      </c>
      <c r="AN576" s="35">
        <f>SUM(AL576:AM576)</f>
        <v>50</v>
      </c>
      <c r="AO576" s="279"/>
      <c r="AP576" s="279"/>
      <c r="AQ576" s="281"/>
      <c r="AR576" s="59">
        <v>136</v>
      </c>
      <c r="AS576" s="59"/>
      <c r="AT576" s="59"/>
      <c r="AU576" s="59"/>
      <c r="AV576" s="62"/>
      <c r="AW576" s="10"/>
      <c r="AX576" s="326">
        <v>39079</v>
      </c>
      <c r="AY576" s="5">
        <v>-4</v>
      </c>
      <c r="AZ576" s="10"/>
      <c r="BA576" s="61">
        <v>1852</v>
      </c>
      <c r="BB576" s="59">
        <v>46124706</v>
      </c>
      <c r="BC576" s="59"/>
      <c r="BD576" s="59"/>
      <c r="BE576" s="59">
        <v>47</v>
      </c>
      <c r="BF576" s="59">
        <v>6</v>
      </c>
      <c r="BG576" s="59">
        <v>2</v>
      </c>
      <c r="BH576" s="351"/>
      <c r="BI576" s="59">
        <v>2845574</v>
      </c>
      <c r="BJ576" s="342">
        <v>39092</v>
      </c>
      <c r="BK576" s="342">
        <v>39094</v>
      </c>
      <c r="BL576" s="320">
        <f>BK576-BJ576</f>
        <v>2</v>
      </c>
      <c r="BM576" s="62"/>
      <c r="BN576" s="10"/>
      <c r="BO576" s="8"/>
      <c r="BP576" s="62">
        <v>161</v>
      </c>
      <c r="BQ576" s="10"/>
      <c r="BR576" s="29">
        <v>2007</v>
      </c>
      <c r="BS576" s="64">
        <v>2007</v>
      </c>
      <c r="BT576" s="14">
        <v>1</v>
      </c>
      <c r="BU576" s="10"/>
      <c r="BV576" s="8">
        <v>0</v>
      </c>
      <c r="BW576" s="59">
        <v>2</v>
      </c>
      <c r="BX576" s="59">
        <v>0</v>
      </c>
      <c r="BY576" s="59">
        <v>0</v>
      </c>
      <c r="BZ576" s="59">
        <v>0</v>
      </c>
      <c r="CA576" s="59">
        <v>0</v>
      </c>
      <c r="CB576" s="59">
        <v>0</v>
      </c>
      <c r="CC576" s="221"/>
      <c r="CD576" s="59">
        <v>4</v>
      </c>
      <c r="CE576" s="59">
        <v>0</v>
      </c>
      <c r="CF576" s="222">
        <v>0</v>
      </c>
      <c r="CG576" s="59">
        <v>0</v>
      </c>
      <c r="CH576" s="59">
        <v>0</v>
      </c>
      <c r="CI576" s="59">
        <v>0</v>
      </c>
      <c r="CJ576" s="59">
        <v>10</v>
      </c>
      <c r="CK576" s="59"/>
      <c r="CL576" s="59">
        <v>0</v>
      </c>
      <c r="CM576" s="59">
        <v>1</v>
      </c>
      <c r="CN576" s="59">
        <v>0</v>
      </c>
      <c r="CO576" s="59">
        <v>1</v>
      </c>
      <c r="CP576" s="317"/>
      <c r="CQ576" s="59">
        <v>0</v>
      </c>
      <c r="CR576" s="59"/>
      <c r="CS576" s="59">
        <v>1</v>
      </c>
      <c r="CT576" s="59">
        <v>0</v>
      </c>
      <c r="CU576" s="222">
        <v>0</v>
      </c>
      <c r="CV576" s="59">
        <v>0</v>
      </c>
      <c r="CW576" s="59">
        <v>0</v>
      </c>
      <c r="CX576" s="222">
        <v>0</v>
      </c>
      <c r="CY576" s="59">
        <v>1</v>
      </c>
      <c r="CZ576" s="59">
        <v>0</v>
      </c>
      <c r="DA576" s="59">
        <v>0</v>
      </c>
      <c r="DB576" s="59">
        <v>5</v>
      </c>
      <c r="DC576" s="59">
        <v>0</v>
      </c>
      <c r="DD576" s="59">
        <v>0</v>
      </c>
      <c r="DE576" s="59">
        <v>0</v>
      </c>
      <c r="DF576" s="59">
        <v>0</v>
      </c>
      <c r="DG576" s="59">
        <v>1</v>
      </c>
      <c r="DH576" s="59">
        <v>0</v>
      </c>
      <c r="DI576" s="59">
        <v>0</v>
      </c>
      <c r="DJ576" s="59">
        <v>1</v>
      </c>
      <c r="DK576" s="59">
        <v>0</v>
      </c>
      <c r="DL576" s="59">
        <v>0</v>
      </c>
      <c r="DM576" s="59">
        <v>13</v>
      </c>
      <c r="DN576" s="59">
        <v>1</v>
      </c>
      <c r="DO576" s="59">
        <v>4</v>
      </c>
      <c r="DP576" s="59">
        <v>0</v>
      </c>
      <c r="DQ576" s="59">
        <v>0</v>
      </c>
      <c r="DR576" s="59"/>
      <c r="DS576" s="59">
        <v>0</v>
      </c>
      <c r="DT576" s="59">
        <v>0</v>
      </c>
      <c r="DU576" s="59">
        <v>0</v>
      </c>
      <c r="DV576" s="38">
        <f t="shared" si="270"/>
        <v>45</v>
      </c>
      <c r="DW576" s="14" t="str">
        <f t="shared" si="268"/>
        <v/>
      </c>
      <c r="DY576">
        <f t="shared" si="272"/>
        <v>45</v>
      </c>
      <c r="DZ576" t="str">
        <f t="shared" si="269"/>
        <v/>
      </c>
    </row>
    <row r="577" spans="1:130" customFormat="1">
      <c r="A577" s="210">
        <v>39097</v>
      </c>
      <c r="B577" s="211"/>
      <c r="C577" s="8">
        <v>4</v>
      </c>
      <c r="D577" s="59">
        <v>19</v>
      </c>
      <c r="E577" s="59">
        <v>0</v>
      </c>
      <c r="F577" s="59">
        <v>0</v>
      </c>
      <c r="G577" s="59">
        <v>0</v>
      </c>
      <c r="H577" s="59">
        <v>0</v>
      </c>
      <c r="I577" s="59">
        <v>0</v>
      </c>
      <c r="J577" s="59">
        <v>5</v>
      </c>
      <c r="K577" s="59">
        <v>0</v>
      </c>
      <c r="L577" s="59">
        <v>0</v>
      </c>
      <c r="M577" s="59">
        <v>0</v>
      </c>
      <c r="N577" s="59">
        <v>0</v>
      </c>
      <c r="O577" s="59">
        <v>6</v>
      </c>
      <c r="P577" s="59">
        <v>0</v>
      </c>
      <c r="Q577" s="59">
        <v>0</v>
      </c>
      <c r="R577" s="59">
        <v>0</v>
      </c>
      <c r="S577" s="35">
        <f t="shared" si="271"/>
        <v>34</v>
      </c>
      <c r="T577" s="59"/>
      <c r="U577" s="59">
        <v>11</v>
      </c>
      <c r="V577" s="59">
        <v>10</v>
      </c>
      <c r="W577" s="59">
        <v>0</v>
      </c>
      <c r="X577" s="62">
        <v>1</v>
      </c>
      <c r="Y577" s="10"/>
      <c r="Z577" s="61">
        <v>1209856</v>
      </c>
      <c r="AA577" s="101"/>
      <c r="AB577" s="101"/>
      <c r="AC577" s="61">
        <v>790255</v>
      </c>
      <c r="AD577" s="59"/>
      <c r="AE577" s="35">
        <f t="shared" si="267"/>
        <v>790255</v>
      </c>
      <c r="AF577" s="10"/>
      <c r="AG577" s="61">
        <v>116</v>
      </c>
      <c r="AH577" s="59">
        <v>7</v>
      </c>
      <c r="AI577" s="59">
        <v>134</v>
      </c>
      <c r="AJ577" s="62"/>
      <c r="AK577" s="10"/>
      <c r="AL577" s="8"/>
      <c r="AM577" s="10"/>
      <c r="AN577" s="35"/>
      <c r="AO577" s="279"/>
      <c r="AP577" s="279"/>
      <c r="AQ577" s="281"/>
      <c r="AR577" s="59">
        <v>137</v>
      </c>
      <c r="AS577" s="59">
        <v>57</v>
      </c>
      <c r="AT577" s="59">
        <v>107</v>
      </c>
      <c r="AU577" s="59">
        <v>17</v>
      </c>
      <c r="AV577" s="62">
        <v>214</v>
      </c>
      <c r="AW577" s="10"/>
      <c r="AX577" s="326">
        <v>39093</v>
      </c>
      <c r="AY577" s="5">
        <v>-4</v>
      </c>
      <c r="AZ577" s="10"/>
      <c r="BA577" s="61"/>
      <c r="BB577" s="59"/>
      <c r="BC577" s="59"/>
      <c r="BD577" s="59"/>
      <c r="BE577" s="59"/>
      <c r="BF577" s="59"/>
      <c r="BG577" s="59"/>
      <c r="BH577" s="351"/>
      <c r="BI577" s="59"/>
      <c r="BJ577" s="342"/>
      <c r="BK577" s="342"/>
      <c r="BL577" s="320"/>
      <c r="BM577" s="62"/>
      <c r="BN577" s="10"/>
      <c r="BO577" s="8"/>
      <c r="BP577" s="62"/>
      <c r="BQ577" s="10"/>
      <c r="BR577" s="29">
        <v>2007</v>
      </c>
      <c r="BS577" s="64">
        <v>2007</v>
      </c>
      <c r="BT577" s="14">
        <v>2</v>
      </c>
      <c r="BU577" s="10"/>
      <c r="BV577" s="8">
        <v>1</v>
      </c>
      <c r="BW577" s="59">
        <v>0</v>
      </c>
      <c r="BX577" s="59">
        <v>0</v>
      </c>
      <c r="BY577" s="59">
        <v>0</v>
      </c>
      <c r="BZ577" s="59">
        <v>0</v>
      </c>
      <c r="CA577" s="59">
        <v>0</v>
      </c>
      <c r="CB577" s="59">
        <v>0</v>
      </c>
      <c r="CC577" s="221"/>
      <c r="CD577" s="59">
        <v>6</v>
      </c>
      <c r="CE577" s="59">
        <v>0</v>
      </c>
      <c r="CF577" s="222">
        <v>0</v>
      </c>
      <c r="CG577" s="59">
        <v>0</v>
      </c>
      <c r="CH577" s="59">
        <v>0</v>
      </c>
      <c r="CI577" s="59">
        <v>0</v>
      </c>
      <c r="CJ577" s="59">
        <v>12</v>
      </c>
      <c r="CK577" s="59"/>
      <c r="CL577" s="59">
        <v>0</v>
      </c>
      <c r="CM577" s="59">
        <v>0</v>
      </c>
      <c r="CN577" s="59">
        <v>0</v>
      </c>
      <c r="CO577" s="59">
        <v>1</v>
      </c>
      <c r="CP577" s="317"/>
      <c r="CQ577" s="59">
        <v>0</v>
      </c>
      <c r="CR577" s="59"/>
      <c r="CS577" s="59">
        <v>0</v>
      </c>
      <c r="CT577" s="59">
        <v>3</v>
      </c>
      <c r="CU577" s="222">
        <v>0</v>
      </c>
      <c r="CV577" s="59">
        <v>2</v>
      </c>
      <c r="CW577" s="59">
        <v>0</v>
      </c>
      <c r="CX577" s="222">
        <v>0</v>
      </c>
      <c r="CY577" s="59">
        <v>0</v>
      </c>
      <c r="CZ577" s="59">
        <v>0</v>
      </c>
      <c r="DA577" s="59">
        <v>0</v>
      </c>
      <c r="DB577" s="59">
        <v>0</v>
      </c>
      <c r="DC577" s="59">
        <v>0</v>
      </c>
      <c r="DD577" s="59">
        <v>0</v>
      </c>
      <c r="DE577" s="59">
        <v>0</v>
      </c>
      <c r="DF577" s="59">
        <v>0</v>
      </c>
      <c r="DG577" s="59">
        <v>4</v>
      </c>
      <c r="DH577" s="59">
        <v>3</v>
      </c>
      <c r="DI577" s="59">
        <v>0</v>
      </c>
      <c r="DJ577" s="59">
        <v>0</v>
      </c>
      <c r="DK577" s="59">
        <v>1</v>
      </c>
      <c r="DL577" s="59">
        <v>0</v>
      </c>
      <c r="DM577" s="59">
        <v>0</v>
      </c>
      <c r="DN577" s="59">
        <v>0</v>
      </c>
      <c r="DO577" s="59">
        <v>1</v>
      </c>
      <c r="DP577" s="59">
        <v>0</v>
      </c>
      <c r="DQ577" s="59">
        <v>0</v>
      </c>
      <c r="DR577" s="59"/>
      <c r="DS577" s="59">
        <v>0</v>
      </c>
      <c r="DT577" s="59">
        <v>0</v>
      </c>
      <c r="DU577" s="59">
        <v>0</v>
      </c>
      <c r="DV577" s="38">
        <f t="shared" si="270"/>
        <v>34</v>
      </c>
      <c r="DW577" s="14" t="str">
        <f t="shared" si="268"/>
        <v/>
      </c>
      <c r="DY577">
        <f t="shared" si="272"/>
        <v>34</v>
      </c>
      <c r="DZ577" t="str">
        <f t="shared" ref="DZ577:DZ588" si="273">IF(DV577-DY577=0,"",DV577-DY577)</f>
        <v/>
      </c>
    </row>
    <row r="578" spans="1:130" customFormat="1">
      <c r="A578" s="210">
        <v>39114</v>
      </c>
      <c r="B578" s="211"/>
      <c r="C578" s="61">
        <v>3</v>
      </c>
      <c r="D578" s="59">
        <v>10</v>
      </c>
      <c r="E578" s="59">
        <v>0</v>
      </c>
      <c r="F578" s="59">
        <v>0</v>
      </c>
      <c r="G578" s="59">
        <v>8</v>
      </c>
      <c r="H578" s="59">
        <v>0</v>
      </c>
      <c r="I578" s="59">
        <v>0</v>
      </c>
      <c r="J578" s="59">
        <v>22</v>
      </c>
      <c r="K578" s="59">
        <v>0</v>
      </c>
      <c r="L578" s="59">
        <v>0</v>
      </c>
      <c r="M578" s="59">
        <v>0</v>
      </c>
      <c r="N578" s="59">
        <v>0</v>
      </c>
      <c r="O578" s="59">
        <v>0</v>
      </c>
      <c r="P578" s="59">
        <v>0</v>
      </c>
      <c r="Q578" s="59">
        <v>0</v>
      </c>
      <c r="R578" s="59">
        <v>2</v>
      </c>
      <c r="S578" s="35">
        <f t="shared" si="271"/>
        <v>45</v>
      </c>
      <c r="T578" s="59"/>
      <c r="U578" s="59">
        <v>15</v>
      </c>
      <c r="V578" s="59">
        <v>15</v>
      </c>
      <c r="W578" s="59">
        <v>0</v>
      </c>
      <c r="X578" s="62">
        <v>0</v>
      </c>
      <c r="Y578" s="10"/>
      <c r="Z578" s="61">
        <v>1729024</v>
      </c>
      <c r="AA578" s="101"/>
      <c r="AB578" s="101"/>
      <c r="AC578" s="61">
        <v>330583</v>
      </c>
      <c r="AD578" s="59"/>
      <c r="AE578" s="35">
        <f t="shared" si="267"/>
        <v>330583</v>
      </c>
      <c r="AF578" s="10"/>
      <c r="AG578" s="61">
        <v>65</v>
      </c>
      <c r="AH578" s="59">
        <v>106</v>
      </c>
      <c r="AI578" s="59">
        <v>182</v>
      </c>
      <c r="AJ578" s="62"/>
      <c r="AK578" s="10"/>
      <c r="AL578" s="8"/>
      <c r="AM578" s="10"/>
      <c r="AN578" s="35"/>
      <c r="AO578" s="279"/>
      <c r="AP578" s="279"/>
      <c r="AQ578" s="281"/>
      <c r="AR578" s="59">
        <v>134</v>
      </c>
      <c r="AS578" s="59">
        <v>57</v>
      </c>
      <c r="AT578" s="59">
        <v>110</v>
      </c>
      <c r="AU578" s="59">
        <v>17</v>
      </c>
      <c r="AV578" s="62">
        <v>217</v>
      </c>
      <c r="AW578" s="10"/>
      <c r="AX578" s="326">
        <v>39113</v>
      </c>
      <c r="AY578" s="5">
        <v>-1</v>
      </c>
      <c r="AZ578" s="10"/>
      <c r="BA578" s="8">
        <v>1856</v>
      </c>
      <c r="BB578" s="356">
        <v>46788074</v>
      </c>
      <c r="BC578" s="356"/>
      <c r="BD578" s="356"/>
      <c r="BE578" s="356">
        <v>104</v>
      </c>
      <c r="BF578" s="356">
        <v>6</v>
      </c>
      <c r="BG578" s="5">
        <v>2</v>
      </c>
      <c r="BH578" s="5"/>
      <c r="BI578" s="356">
        <v>3652638</v>
      </c>
      <c r="BJ578" s="342">
        <v>39123</v>
      </c>
      <c r="BK578" s="342">
        <v>39122</v>
      </c>
      <c r="BL578" s="320">
        <f>BK578-BJ578</f>
        <v>-1</v>
      </c>
      <c r="BM578" s="62"/>
      <c r="BN578" s="10"/>
      <c r="BO578" s="8"/>
      <c r="BP578" s="62">
        <v>162</v>
      </c>
      <c r="BQ578" s="10"/>
      <c r="BR578" s="29">
        <v>2007</v>
      </c>
      <c r="BS578" s="64">
        <v>2007</v>
      </c>
      <c r="BT578" s="14">
        <v>3</v>
      </c>
      <c r="BU578" s="10"/>
      <c r="BV578" s="8">
        <v>0</v>
      </c>
      <c r="BW578" s="59">
        <v>1</v>
      </c>
      <c r="BX578" s="59">
        <v>0</v>
      </c>
      <c r="BY578" s="59">
        <v>0</v>
      </c>
      <c r="BZ578" s="59">
        <v>0</v>
      </c>
      <c r="CA578" s="59">
        <v>0</v>
      </c>
      <c r="CB578" s="59">
        <v>0</v>
      </c>
      <c r="CC578" s="221"/>
      <c r="CD578" s="59">
        <v>8</v>
      </c>
      <c r="CE578" s="59">
        <v>0</v>
      </c>
      <c r="CF578" s="222">
        <v>0</v>
      </c>
      <c r="CG578" s="59">
        <v>0</v>
      </c>
      <c r="CH578" s="59">
        <v>0</v>
      </c>
      <c r="CI578" s="59">
        <v>0</v>
      </c>
      <c r="CJ578" s="59">
        <v>8</v>
      </c>
      <c r="CK578" s="59"/>
      <c r="CL578" s="59">
        <v>0</v>
      </c>
      <c r="CM578" s="59">
        <v>0</v>
      </c>
      <c r="CN578" s="59">
        <v>0</v>
      </c>
      <c r="CO578" s="59">
        <v>1</v>
      </c>
      <c r="CP578" s="317"/>
      <c r="CQ578" s="59">
        <v>0</v>
      </c>
      <c r="CR578" s="59"/>
      <c r="CS578" s="59">
        <v>0</v>
      </c>
      <c r="CT578" s="59">
        <v>7</v>
      </c>
      <c r="CU578" s="222">
        <v>0</v>
      </c>
      <c r="CV578" s="59">
        <v>9</v>
      </c>
      <c r="CW578" s="59">
        <v>0</v>
      </c>
      <c r="CX578" s="222">
        <v>0</v>
      </c>
      <c r="CY578" s="59">
        <v>0</v>
      </c>
      <c r="CZ578" s="59">
        <v>0</v>
      </c>
      <c r="DA578" s="59">
        <v>0</v>
      </c>
      <c r="DB578" s="59">
        <v>3</v>
      </c>
      <c r="DC578" s="59">
        <v>0</v>
      </c>
      <c r="DD578" s="59">
        <v>0</v>
      </c>
      <c r="DE578" s="59">
        <v>0</v>
      </c>
      <c r="DF578" s="59">
        <v>0</v>
      </c>
      <c r="DG578" s="59">
        <v>3</v>
      </c>
      <c r="DH578" s="59">
        <v>0</v>
      </c>
      <c r="DI578" s="59">
        <v>0</v>
      </c>
      <c r="DJ578" s="59">
        <v>2</v>
      </c>
      <c r="DK578" s="59">
        <v>0</v>
      </c>
      <c r="DL578" s="59">
        <v>0</v>
      </c>
      <c r="DM578" s="59">
        <v>0</v>
      </c>
      <c r="DN578" s="59">
        <v>0</v>
      </c>
      <c r="DO578" s="59">
        <v>0</v>
      </c>
      <c r="DP578" s="59">
        <v>0</v>
      </c>
      <c r="DQ578" s="59">
        <v>0</v>
      </c>
      <c r="DR578" s="59"/>
      <c r="DS578" s="59">
        <v>1</v>
      </c>
      <c r="DT578" s="59">
        <v>0</v>
      </c>
      <c r="DU578" s="59">
        <v>2</v>
      </c>
      <c r="DV578" s="38">
        <f t="shared" si="270"/>
        <v>45</v>
      </c>
      <c r="DW578" s="14" t="str">
        <f t="shared" si="268"/>
        <v/>
      </c>
      <c r="DY578">
        <f t="shared" si="272"/>
        <v>45</v>
      </c>
      <c r="DZ578" t="str">
        <f t="shared" si="273"/>
        <v/>
      </c>
    </row>
    <row r="579" spans="1:130" customFormat="1">
      <c r="A579" s="210">
        <v>39128</v>
      </c>
      <c r="B579" s="211"/>
      <c r="C579" s="61">
        <v>4</v>
      </c>
      <c r="D579" s="59">
        <v>16</v>
      </c>
      <c r="E579" s="59">
        <v>2</v>
      </c>
      <c r="F579" s="59">
        <v>0</v>
      </c>
      <c r="G579" s="59">
        <v>1</v>
      </c>
      <c r="H579" s="59">
        <v>0</v>
      </c>
      <c r="I579" s="59">
        <v>0</v>
      </c>
      <c r="J579" s="59">
        <v>28</v>
      </c>
      <c r="K579" s="59">
        <v>0</v>
      </c>
      <c r="L579" s="59">
        <v>1</v>
      </c>
      <c r="M579" s="59">
        <v>0</v>
      </c>
      <c r="N579" s="59">
        <v>0</v>
      </c>
      <c r="O579" s="59">
        <v>4</v>
      </c>
      <c r="P579" s="59">
        <v>13</v>
      </c>
      <c r="Q579" s="59">
        <v>0</v>
      </c>
      <c r="R579" s="59">
        <v>0</v>
      </c>
      <c r="S579" s="35">
        <f t="shared" si="271"/>
        <v>69</v>
      </c>
      <c r="T579" s="59"/>
      <c r="U579" s="59">
        <v>24</v>
      </c>
      <c r="V579" s="59">
        <v>22</v>
      </c>
      <c r="W579" s="59">
        <v>0</v>
      </c>
      <c r="X579" s="62">
        <v>0</v>
      </c>
      <c r="Y579" s="10"/>
      <c r="Z579" s="61">
        <v>1242112</v>
      </c>
      <c r="AA579" s="101"/>
      <c r="AB579" s="101"/>
      <c r="AC579" s="61">
        <v>451759</v>
      </c>
      <c r="AD579" s="59"/>
      <c r="AE579" s="35">
        <f t="shared" si="267"/>
        <v>451759</v>
      </c>
      <c r="AF579" s="10"/>
      <c r="AG579" s="61">
        <v>67</v>
      </c>
      <c r="AH579" s="59">
        <v>21</v>
      </c>
      <c r="AI579" s="59">
        <v>100</v>
      </c>
      <c r="AJ579" s="62"/>
      <c r="AK579" s="10"/>
      <c r="AL579" s="8"/>
      <c r="AM579" s="10"/>
      <c r="AN579" s="35"/>
      <c r="AO579" s="279"/>
      <c r="AP579" s="279"/>
      <c r="AQ579" s="281"/>
      <c r="AR579" s="59">
        <v>134</v>
      </c>
      <c r="AS579" s="59">
        <v>57</v>
      </c>
      <c r="AT579" s="59">
        <v>109</v>
      </c>
      <c r="AU579" s="59">
        <v>17</v>
      </c>
      <c r="AV579" s="62">
        <v>216</v>
      </c>
      <c r="AW579" s="10"/>
      <c r="AX579" s="326">
        <v>39127</v>
      </c>
      <c r="AY579" s="5">
        <v>-1</v>
      </c>
      <c r="AZ579" s="10"/>
      <c r="BA579" s="8"/>
      <c r="BB579" s="356"/>
      <c r="BC579" s="356"/>
      <c r="BD579" s="356"/>
      <c r="BE579" s="356"/>
      <c r="BF579" s="356"/>
      <c r="BG579" s="5"/>
      <c r="BH579" s="5"/>
      <c r="BI579" s="356"/>
      <c r="BJ579" s="342"/>
      <c r="BK579" s="342"/>
      <c r="BL579" s="320"/>
      <c r="BM579" s="62"/>
      <c r="BN579" s="10"/>
      <c r="BO579" s="8"/>
      <c r="BP579" s="62"/>
      <c r="BQ579" s="10"/>
      <c r="BR579" s="29">
        <v>2007</v>
      </c>
      <c r="BS579" s="64">
        <v>2007</v>
      </c>
      <c r="BT579" s="14">
        <v>4</v>
      </c>
      <c r="BU579" s="10"/>
      <c r="BV579" s="8">
        <v>3</v>
      </c>
      <c r="BW579" s="59">
        <v>1</v>
      </c>
      <c r="BX579" s="59">
        <v>2</v>
      </c>
      <c r="BY579" s="59">
        <v>0</v>
      </c>
      <c r="BZ579" s="59">
        <v>0</v>
      </c>
      <c r="CA579" s="59">
        <v>0</v>
      </c>
      <c r="CB579" s="59">
        <v>0</v>
      </c>
      <c r="CC579" s="221"/>
      <c r="CD579" s="59">
        <v>9</v>
      </c>
      <c r="CE579" s="59">
        <v>0</v>
      </c>
      <c r="CF579" s="222">
        <v>0</v>
      </c>
      <c r="CG579" s="59">
        <v>4</v>
      </c>
      <c r="CH579" s="59">
        <v>0</v>
      </c>
      <c r="CI579" s="59">
        <v>3</v>
      </c>
      <c r="CJ579" s="59">
        <v>2</v>
      </c>
      <c r="CK579" s="59"/>
      <c r="CL579" s="59">
        <v>0</v>
      </c>
      <c r="CM579" s="59">
        <v>0</v>
      </c>
      <c r="CN579" s="59">
        <v>0</v>
      </c>
      <c r="CO579" s="59">
        <v>5</v>
      </c>
      <c r="CP579" s="317"/>
      <c r="CQ579" s="59">
        <v>0</v>
      </c>
      <c r="CR579" s="59"/>
      <c r="CS579" s="59">
        <v>0</v>
      </c>
      <c r="CT579" s="59">
        <v>1</v>
      </c>
      <c r="CU579" s="222">
        <v>0</v>
      </c>
      <c r="CV579" s="59">
        <v>14</v>
      </c>
      <c r="CW579" s="59">
        <v>0</v>
      </c>
      <c r="CX579" s="222">
        <v>0</v>
      </c>
      <c r="CY579" s="59">
        <v>0</v>
      </c>
      <c r="CZ579" s="59">
        <v>0</v>
      </c>
      <c r="DA579" s="59">
        <v>0</v>
      </c>
      <c r="DB579" s="59">
        <v>4</v>
      </c>
      <c r="DC579" s="59">
        <v>0</v>
      </c>
      <c r="DD579" s="59">
        <v>0</v>
      </c>
      <c r="DE579" s="59">
        <v>0</v>
      </c>
      <c r="DF579" s="59">
        <v>0</v>
      </c>
      <c r="DG579" s="59">
        <v>0</v>
      </c>
      <c r="DH579" s="59">
        <v>2</v>
      </c>
      <c r="DI579" s="59">
        <v>0</v>
      </c>
      <c r="DJ579" s="59">
        <v>0</v>
      </c>
      <c r="DK579" s="59">
        <v>0</v>
      </c>
      <c r="DL579" s="59">
        <v>0</v>
      </c>
      <c r="DM579" s="59">
        <v>2</v>
      </c>
      <c r="DN579" s="59">
        <v>0</v>
      </c>
      <c r="DO579" s="59">
        <v>3</v>
      </c>
      <c r="DP579" s="59">
        <v>0</v>
      </c>
      <c r="DQ579" s="59">
        <v>0</v>
      </c>
      <c r="DR579" s="59"/>
      <c r="DS579" s="59">
        <v>14</v>
      </c>
      <c r="DT579" s="59">
        <v>0</v>
      </c>
      <c r="DU579" s="59">
        <v>0</v>
      </c>
      <c r="DV579" s="38">
        <f t="shared" si="270"/>
        <v>69</v>
      </c>
      <c r="DW579" s="14" t="str">
        <f t="shared" si="268"/>
        <v/>
      </c>
      <c r="DY579">
        <f t="shared" si="272"/>
        <v>69</v>
      </c>
      <c r="DZ579" t="str">
        <f t="shared" si="273"/>
        <v/>
      </c>
    </row>
    <row r="580" spans="1:130" customFormat="1">
      <c r="A580" s="210">
        <v>39142</v>
      </c>
      <c r="B580" s="211"/>
      <c r="C580" s="61">
        <v>0</v>
      </c>
      <c r="D580" s="59">
        <v>7</v>
      </c>
      <c r="E580" s="59">
        <v>1</v>
      </c>
      <c r="F580" s="59">
        <v>0</v>
      </c>
      <c r="G580" s="59">
        <v>0</v>
      </c>
      <c r="H580" s="59">
        <v>0</v>
      </c>
      <c r="I580" s="59">
        <v>0</v>
      </c>
      <c r="J580" s="59">
        <v>19</v>
      </c>
      <c r="K580" s="59">
        <v>2</v>
      </c>
      <c r="L580" s="59">
        <v>0</v>
      </c>
      <c r="M580" s="59">
        <v>0</v>
      </c>
      <c r="N580" s="59">
        <v>0</v>
      </c>
      <c r="O580" s="59">
        <v>4</v>
      </c>
      <c r="P580" s="59">
        <v>1</v>
      </c>
      <c r="Q580" s="59">
        <v>0</v>
      </c>
      <c r="R580" s="59">
        <v>0</v>
      </c>
      <c r="S580" s="35">
        <f t="shared" si="271"/>
        <v>34</v>
      </c>
      <c r="T580" s="59"/>
      <c r="U580" s="59">
        <v>8</v>
      </c>
      <c r="V580" s="59">
        <v>8</v>
      </c>
      <c r="W580" s="59">
        <v>0</v>
      </c>
      <c r="X580" s="62">
        <v>0</v>
      </c>
      <c r="Y580" s="10"/>
      <c r="Z580" s="61">
        <v>953344</v>
      </c>
      <c r="AA580" s="101"/>
      <c r="AB580" s="101"/>
      <c r="AC580" s="61">
        <v>199515</v>
      </c>
      <c r="AD580" s="59"/>
      <c r="AE580" s="35">
        <f t="shared" si="267"/>
        <v>199515</v>
      </c>
      <c r="AF580" s="10"/>
      <c r="AG580" s="61">
        <v>25</v>
      </c>
      <c r="AH580" s="59">
        <v>24</v>
      </c>
      <c r="AI580" s="59">
        <v>60</v>
      </c>
      <c r="AJ580" s="62"/>
      <c r="AK580" s="10"/>
      <c r="AL580" s="8"/>
      <c r="AM580" s="10"/>
      <c r="AN580" s="35"/>
      <c r="AO580" s="279"/>
      <c r="AP580" s="279"/>
      <c r="AQ580" s="281"/>
      <c r="AR580" s="59">
        <v>134</v>
      </c>
      <c r="AS580" s="59">
        <v>57</v>
      </c>
      <c r="AT580" s="59">
        <v>110</v>
      </c>
      <c r="AU580" s="59">
        <v>17</v>
      </c>
      <c r="AV580" s="62">
        <v>217</v>
      </c>
      <c r="AW580" s="10"/>
      <c r="AX580" s="326">
        <v>39139</v>
      </c>
      <c r="AY580" s="5">
        <v>-3</v>
      </c>
      <c r="AZ580" s="10"/>
      <c r="BA580" s="8">
        <v>1857</v>
      </c>
      <c r="BB580" s="356">
        <v>46977320</v>
      </c>
      <c r="BC580" s="356"/>
      <c r="BD580" s="356"/>
      <c r="BE580" s="356">
        <v>73</v>
      </c>
      <c r="BF580" s="356">
        <v>2</v>
      </c>
      <c r="BG580" s="5">
        <v>1</v>
      </c>
      <c r="BH580" s="5"/>
      <c r="BI580" s="356">
        <v>2481640</v>
      </c>
      <c r="BJ580" s="327">
        <v>39151</v>
      </c>
      <c r="BK580" s="342">
        <v>39148</v>
      </c>
      <c r="BL580" s="320">
        <f>BK580-BJ580</f>
        <v>-3</v>
      </c>
      <c r="BM580" s="62"/>
      <c r="BN580" s="10"/>
      <c r="BO580" s="8"/>
      <c r="BP580" s="62">
        <v>162</v>
      </c>
      <c r="BQ580" s="10"/>
      <c r="BR580" s="29">
        <v>2007</v>
      </c>
      <c r="BS580" s="64">
        <v>2007</v>
      </c>
      <c r="BT580" s="14">
        <v>5</v>
      </c>
      <c r="BU580" s="10"/>
      <c r="BV580" s="8">
        <v>1</v>
      </c>
      <c r="BW580" s="59">
        <v>10</v>
      </c>
      <c r="BX580" s="59">
        <v>0</v>
      </c>
      <c r="BY580" s="59">
        <v>0</v>
      </c>
      <c r="BZ580" s="59">
        <v>0</v>
      </c>
      <c r="CA580" s="59">
        <v>0</v>
      </c>
      <c r="CB580" s="59">
        <v>0</v>
      </c>
      <c r="CC580" s="221"/>
      <c r="CD580" s="59">
        <v>9</v>
      </c>
      <c r="CE580" s="59">
        <v>0</v>
      </c>
      <c r="CF580" s="222">
        <v>0</v>
      </c>
      <c r="CG580" s="59">
        <v>0</v>
      </c>
      <c r="CH580" s="59">
        <v>0</v>
      </c>
      <c r="CI580" s="59">
        <v>3</v>
      </c>
      <c r="CJ580" s="59">
        <v>6</v>
      </c>
      <c r="CK580" s="59"/>
      <c r="CL580" s="59">
        <v>0</v>
      </c>
      <c r="CM580" s="59">
        <v>0</v>
      </c>
      <c r="CN580" s="59">
        <v>0</v>
      </c>
      <c r="CO580" s="59">
        <v>2</v>
      </c>
      <c r="CP580" s="317"/>
      <c r="CQ580" s="59">
        <v>0</v>
      </c>
      <c r="CR580" s="59"/>
      <c r="CS580" s="59">
        <v>0</v>
      </c>
      <c r="CT580" s="59">
        <v>2</v>
      </c>
      <c r="CU580" s="222">
        <v>0</v>
      </c>
      <c r="CV580" s="59">
        <v>0</v>
      </c>
      <c r="CW580" s="59">
        <v>0</v>
      </c>
      <c r="CX580" s="222">
        <v>0</v>
      </c>
      <c r="CY580" s="59">
        <v>0</v>
      </c>
      <c r="CZ580" s="59">
        <v>0</v>
      </c>
      <c r="DA580" s="59">
        <v>0</v>
      </c>
      <c r="DB580" s="59">
        <v>1</v>
      </c>
      <c r="DC580" s="59">
        <v>0</v>
      </c>
      <c r="DD580" s="59">
        <v>0</v>
      </c>
      <c r="DE580" s="59">
        <v>0</v>
      </c>
      <c r="DF580" s="59">
        <v>0</v>
      </c>
      <c r="DG580" s="59">
        <v>0</v>
      </c>
      <c r="DH580" s="59">
        <v>0</v>
      </c>
      <c r="DI580" s="59">
        <v>0</v>
      </c>
      <c r="DJ580" s="59">
        <v>0</v>
      </c>
      <c r="DK580" s="59">
        <v>0</v>
      </c>
      <c r="DL580" s="59">
        <v>0</v>
      </c>
      <c r="DM580" s="59">
        <v>0</v>
      </c>
      <c r="DN580" s="59">
        <v>0</v>
      </c>
      <c r="DO580" s="59">
        <v>0</v>
      </c>
      <c r="DP580" s="59">
        <v>0</v>
      </c>
      <c r="DQ580" s="59">
        <v>0</v>
      </c>
      <c r="DR580" s="59"/>
      <c r="DS580" s="59">
        <v>0</v>
      </c>
      <c r="DT580" s="59">
        <v>0</v>
      </c>
      <c r="DU580" s="59">
        <v>0</v>
      </c>
      <c r="DV580" s="38">
        <f t="shared" si="270"/>
        <v>34</v>
      </c>
      <c r="DW580" s="14" t="str">
        <f t="shared" si="268"/>
        <v/>
      </c>
      <c r="DY580">
        <f t="shared" si="272"/>
        <v>34</v>
      </c>
      <c r="DZ580" t="str">
        <f t="shared" si="273"/>
        <v/>
      </c>
    </row>
    <row r="581" spans="1:130" customFormat="1">
      <c r="A581" s="210">
        <v>39156</v>
      </c>
      <c r="B581" s="211"/>
      <c r="C581" s="61">
        <v>1</v>
      </c>
      <c r="D581" s="59">
        <v>14</v>
      </c>
      <c r="E581" s="59">
        <v>1</v>
      </c>
      <c r="F581" s="59">
        <v>0</v>
      </c>
      <c r="G581" s="59">
        <v>0</v>
      </c>
      <c r="H581" s="59">
        <v>0</v>
      </c>
      <c r="I581" s="59">
        <v>0</v>
      </c>
      <c r="J581" s="59">
        <v>25</v>
      </c>
      <c r="K581" s="59">
        <v>15</v>
      </c>
      <c r="L581" s="59">
        <v>0</v>
      </c>
      <c r="M581" s="59">
        <v>0</v>
      </c>
      <c r="N581" s="59">
        <v>0</v>
      </c>
      <c r="O581" s="59">
        <v>6</v>
      </c>
      <c r="P581" s="59">
        <v>0</v>
      </c>
      <c r="Q581" s="59">
        <v>1</v>
      </c>
      <c r="R581" s="59">
        <v>0</v>
      </c>
      <c r="S581" s="35">
        <f t="shared" si="271"/>
        <v>63</v>
      </c>
      <c r="T581" s="59"/>
      <c r="U581" s="59">
        <v>21</v>
      </c>
      <c r="V581" s="59">
        <v>17</v>
      </c>
      <c r="W581" s="59">
        <v>0</v>
      </c>
      <c r="X581" s="62">
        <v>0</v>
      </c>
      <c r="Y581" s="10"/>
      <c r="Z581" s="61">
        <v>1537536</v>
      </c>
      <c r="AA581" s="101"/>
      <c r="AB581" s="101"/>
      <c r="AC581" s="61">
        <v>233147</v>
      </c>
      <c r="AD581" s="59"/>
      <c r="AE581" s="35">
        <f t="shared" si="267"/>
        <v>233147</v>
      </c>
      <c r="AF581" s="10"/>
      <c r="AG581" s="61">
        <v>46</v>
      </c>
      <c r="AH581" s="59">
        <v>37</v>
      </c>
      <c r="AI581" s="59">
        <v>96</v>
      </c>
      <c r="AJ581" s="62"/>
      <c r="AK581" s="10"/>
      <c r="AL581" s="8"/>
      <c r="AM581" s="10"/>
      <c r="AN581" s="35"/>
      <c r="AO581" s="279"/>
      <c r="AP581" s="279"/>
      <c r="AQ581" s="281"/>
      <c r="AR581" s="59">
        <v>135</v>
      </c>
      <c r="AS581" s="59">
        <v>58</v>
      </c>
      <c r="AT581" s="59">
        <v>112</v>
      </c>
      <c r="AU581" s="59">
        <v>17</v>
      </c>
      <c r="AV581" s="62">
        <v>221</v>
      </c>
      <c r="AW581" s="10"/>
      <c r="AX581" s="326">
        <v>39154</v>
      </c>
      <c r="AY581" s="5">
        <v>-2</v>
      </c>
      <c r="AZ581" s="10"/>
      <c r="BA581" s="61"/>
      <c r="BB581" s="59"/>
      <c r="BC581" s="59"/>
      <c r="BD581" s="59"/>
      <c r="BE581" s="59"/>
      <c r="BF581" s="59"/>
      <c r="BG581" s="59"/>
      <c r="BH581" s="351"/>
      <c r="BI581" s="59"/>
      <c r="BJ581" s="327"/>
      <c r="BK581" s="327"/>
      <c r="BL581" s="320"/>
      <c r="BM581" s="62"/>
      <c r="BN581" s="10"/>
      <c r="BO581" s="8"/>
      <c r="BP581" s="62"/>
      <c r="BQ581" s="10"/>
      <c r="BR581" s="29">
        <v>2007</v>
      </c>
      <c r="BS581" s="64">
        <v>2007</v>
      </c>
      <c r="BT581" s="14">
        <v>6</v>
      </c>
      <c r="BU581" s="10"/>
      <c r="BV581" s="8">
        <v>3</v>
      </c>
      <c r="BW581" s="59">
        <v>0</v>
      </c>
      <c r="BX581" s="59">
        <v>0</v>
      </c>
      <c r="BY581" s="59">
        <v>0</v>
      </c>
      <c r="BZ581" s="59">
        <v>0</v>
      </c>
      <c r="CA581" s="59">
        <v>0</v>
      </c>
      <c r="CB581" s="59">
        <v>0</v>
      </c>
      <c r="CC581" s="221"/>
      <c r="CD581" s="59">
        <v>6</v>
      </c>
      <c r="CE581" s="59">
        <v>2</v>
      </c>
      <c r="CF581" s="222">
        <v>0</v>
      </c>
      <c r="CG581" s="59">
        <v>2</v>
      </c>
      <c r="CH581" s="59">
        <v>0</v>
      </c>
      <c r="CI581" s="59">
        <v>0</v>
      </c>
      <c r="CJ581" s="59">
        <v>16</v>
      </c>
      <c r="CK581" s="59"/>
      <c r="CL581" s="59">
        <v>0</v>
      </c>
      <c r="CM581" s="59">
        <v>0</v>
      </c>
      <c r="CN581" s="59">
        <v>0</v>
      </c>
      <c r="CO581" s="59">
        <v>5</v>
      </c>
      <c r="CP581" s="317"/>
      <c r="CQ581" s="59">
        <v>0</v>
      </c>
      <c r="CR581" s="59"/>
      <c r="CS581" s="59">
        <v>0</v>
      </c>
      <c r="CT581" s="59">
        <v>0</v>
      </c>
      <c r="CU581" s="222">
        <v>0</v>
      </c>
      <c r="CV581" s="59">
        <v>2</v>
      </c>
      <c r="CW581" s="59">
        <v>0</v>
      </c>
      <c r="CX581" s="222">
        <v>0</v>
      </c>
      <c r="CY581" s="59">
        <v>2</v>
      </c>
      <c r="CZ581" s="59">
        <v>0</v>
      </c>
      <c r="DA581" s="59">
        <v>0</v>
      </c>
      <c r="DB581" s="59">
        <v>3</v>
      </c>
      <c r="DC581" s="59">
        <v>0</v>
      </c>
      <c r="DD581" s="59">
        <v>0</v>
      </c>
      <c r="DE581" s="59">
        <v>0</v>
      </c>
      <c r="DF581" s="59">
        <v>0</v>
      </c>
      <c r="DG581" s="59">
        <v>13</v>
      </c>
      <c r="DH581" s="59">
        <v>0</v>
      </c>
      <c r="DI581" s="59">
        <v>6</v>
      </c>
      <c r="DJ581" s="59">
        <v>0</v>
      </c>
      <c r="DK581" s="59">
        <v>0</v>
      </c>
      <c r="DL581" s="59">
        <v>0</v>
      </c>
      <c r="DM581" s="59">
        <v>1</v>
      </c>
      <c r="DN581" s="59">
        <v>0</v>
      </c>
      <c r="DO581" s="59">
        <v>0</v>
      </c>
      <c r="DP581" s="59">
        <v>0</v>
      </c>
      <c r="DQ581" s="59">
        <v>0</v>
      </c>
      <c r="DR581" s="59"/>
      <c r="DS581" s="59">
        <v>2</v>
      </c>
      <c r="DT581" s="59">
        <v>0</v>
      </c>
      <c r="DU581" s="59">
        <v>0</v>
      </c>
      <c r="DV581" s="38">
        <f t="shared" si="270"/>
        <v>63</v>
      </c>
      <c r="DW581" s="14" t="str">
        <f t="shared" si="268"/>
        <v/>
      </c>
      <c r="DY581">
        <f t="shared" si="272"/>
        <v>63</v>
      </c>
      <c r="DZ581" t="str">
        <f t="shared" si="273"/>
        <v/>
      </c>
    </row>
    <row r="582" spans="1:130" customFormat="1">
      <c r="A582" s="210">
        <v>39173</v>
      </c>
      <c r="B582" s="211"/>
      <c r="C582" s="61">
        <v>2</v>
      </c>
      <c r="D582" s="59">
        <v>28</v>
      </c>
      <c r="E582" s="59">
        <v>1</v>
      </c>
      <c r="F582" s="59">
        <v>10</v>
      </c>
      <c r="G582" s="59">
        <v>4</v>
      </c>
      <c r="H582" s="59">
        <v>0</v>
      </c>
      <c r="I582" s="59">
        <v>0</v>
      </c>
      <c r="J582" s="59">
        <v>68</v>
      </c>
      <c r="K582" s="59">
        <v>0</v>
      </c>
      <c r="L582" s="59">
        <v>0</v>
      </c>
      <c r="M582" s="59">
        <v>0</v>
      </c>
      <c r="N582" s="59">
        <v>0</v>
      </c>
      <c r="O582" s="59">
        <v>3</v>
      </c>
      <c r="P582" s="59">
        <v>2</v>
      </c>
      <c r="Q582" s="59">
        <v>0</v>
      </c>
      <c r="R582" s="59">
        <v>0</v>
      </c>
      <c r="S582" s="35">
        <f t="shared" si="271"/>
        <v>118</v>
      </c>
      <c r="T582" s="59"/>
      <c r="U582" s="59">
        <v>31</v>
      </c>
      <c r="V582" s="59">
        <v>30</v>
      </c>
      <c r="W582" s="59">
        <v>0</v>
      </c>
      <c r="X582" s="62">
        <v>1</v>
      </c>
      <c r="Y582" s="10"/>
      <c r="Z582" s="61">
        <v>2195968</v>
      </c>
      <c r="AA582" s="101"/>
      <c r="AB582" s="101"/>
      <c r="AC582" s="61">
        <v>986466</v>
      </c>
      <c r="AD582" s="59"/>
      <c r="AE582" s="35">
        <f t="shared" si="267"/>
        <v>986466</v>
      </c>
      <c r="AF582" s="10"/>
      <c r="AG582" s="61">
        <v>196</v>
      </c>
      <c r="AH582" s="59">
        <v>13</v>
      </c>
      <c r="AI582" s="59">
        <v>224</v>
      </c>
      <c r="AJ582" s="62"/>
      <c r="AK582" s="10"/>
      <c r="AL582" s="8">
        <v>0</v>
      </c>
      <c r="AM582" s="59">
        <v>50</v>
      </c>
      <c r="AN582" s="35">
        <f>SUM(AL582:AM582)</f>
        <v>50</v>
      </c>
      <c r="AO582" s="279"/>
      <c r="AP582" s="279"/>
      <c r="AQ582" s="281"/>
      <c r="AR582" s="59">
        <v>136</v>
      </c>
      <c r="AS582" s="59"/>
      <c r="AT582" s="59"/>
      <c r="AU582" s="59"/>
      <c r="AV582" s="62"/>
      <c r="AW582" s="10"/>
      <c r="AX582" s="326">
        <v>39170</v>
      </c>
      <c r="AY582" s="5">
        <v>-3</v>
      </c>
      <c r="AZ582" s="10"/>
      <c r="BA582" s="61">
        <v>1863</v>
      </c>
      <c r="BB582" s="59">
        <v>47698103</v>
      </c>
      <c r="BC582" s="59"/>
      <c r="BD582" s="59"/>
      <c r="BE582" s="59">
        <v>130</v>
      </c>
      <c r="BF582" s="59">
        <v>6</v>
      </c>
      <c r="BG582" s="59">
        <v>0</v>
      </c>
      <c r="BH582" s="351"/>
      <c r="BI582" s="59">
        <v>6743971</v>
      </c>
      <c r="BJ582" s="327">
        <v>39182</v>
      </c>
      <c r="BK582" s="344">
        <v>39196</v>
      </c>
      <c r="BL582" s="320">
        <f>BK582-BJ582</f>
        <v>14</v>
      </c>
      <c r="BM582" s="62"/>
      <c r="BN582" s="10"/>
      <c r="BO582" s="8"/>
      <c r="BP582" s="62">
        <v>162</v>
      </c>
      <c r="BQ582" s="10"/>
      <c r="BR582" s="29">
        <v>2007</v>
      </c>
      <c r="BS582" s="64">
        <v>2007</v>
      </c>
      <c r="BT582" s="14">
        <v>7</v>
      </c>
      <c r="BU582" s="10"/>
      <c r="BV582" s="8">
        <v>0</v>
      </c>
      <c r="BW582" s="59">
        <v>1</v>
      </c>
      <c r="BX582" s="59">
        <v>0</v>
      </c>
      <c r="BY582" s="59">
        <v>0</v>
      </c>
      <c r="BZ582" s="59">
        <v>0</v>
      </c>
      <c r="CA582" s="59">
        <v>0</v>
      </c>
      <c r="CB582" s="59">
        <v>0</v>
      </c>
      <c r="CC582" s="221"/>
      <c r="CD582" s="59">
        <v>3</v>
      </c>
      <c r="CE582" s="59">
        <v>0</v>
      </c>
      <c r="CF582" s="222">
        <v>0</v>
      </c>
      <c r="CG582" s="59">
        <v>0</v>
      </c>
      <c r="CH582" s="59">
        <v>0</v>
      </c>
      <c r="CI582" s="59">
        <v>5</v>
      </c>
      <c r="CJ582" s="59">
        <v>31</v>
      </c>
      <c r="CK582" s="59"/>
      <c r="CL582" s="59">
        <v>0</v>
      </c>
      <c r="CM582" s="59">
        <v>0</v>
      </c>
      <c r="CN582" s="59">
        <v>0</v>
      </c>
      <c r="CO582" s="59">
        <v>5</v>
      </c>
      <c r="CP582" s="317"/>
      <c r="CQ582" s="59">
        <v>0</v>
      </c>
      <c r="CR582" s="59"/>
      <c r="CS582" s="59">
        <v>0</v>
      </c>
      <c r="CT582" s="59">
        <v>1</v>
      </c>
      <c r="CU582" s="222">
        <v>0</v>
      </c>
      <c r="CV582" s="59">
        <v>1</v>
      </c>
      <c r="CW582" s="59">
        <v>0</v>
      </c>
      <c r="CX582" s="222">
        <v>0</v>
      </c>
      <c r="CY582" s="59">
        <v>0</v>
      </c>
      <c r="CZ582" s="59">
        <v>0</v>
      </c>
      <c r="DA582" s="59">
        <v>0</v>
      </c>
      <c r="DB582" s="59">
        <v>34</v>
      </c>
      <c r="DC582" s="59">
        <v>0</v>
      </c>
      <c r="DD582" s="59">
        <v>0</v>
      </c>
      <c r="DE582" s="59">
        <v>0</v>
      </c>
      <c r="DF582" s="59">
        <v>0</v>
      </c>
      <c r="DG582" s="59">
        <v>11</v>
      </c>
      <c r="DH582" s="59">
        <v>4</v>
      </c>
      <c r="DI582" s="59">
        <v>0</v>
      </c>
      <c r="DJ582" s="59">
        <v>0</v>
      </c>
      <c r="DK582" s="59">
        <v>0</v>
      </c>
      <c r="DL582" s="59">
        <v>0</v>
      </c>
      <c r="DM582" s="59">
        <v>8</v>
      </c>
      <c r="DN582" s="59">
        <v>0</v>
      </c>
      <c r="DO582" s="59">
        <v>0</v>
      </c>
      <c r="DP582" s="59">
        <v>0</v>
      </c>
      <c r="DQ582" s="59">
        <v>0</v>
      </c>
      <c r="DR582" s="59"/>
      <c r="DS582" s="59">
        <v>14</v>
      </c>
      <c r="DT582" s="59">
        <v>0</v>
      </c>
      <c r="DU582" s="59">
        <v>0</v>
      </c>
      <c r="DV582" s="38">
        <f t="shared" si="270"/>
        <v>118</v>
      </c>
      <c r="DW582" s="14" t="str">
        <f t="shared" si="268"/>
        <v/>
      </c>
      <c r="DY582">
        <f t="shared" si="272"/>
        <v>118</v>
      </c>
      <c r="DZ582" t="str">
        <f t="shared" si="273"/>
        <v/>
      </c>
    </row>
    <row r="583" spans="1:130" customFormat="1">
      <c r="A583" s="210">
        <v>39187</v>
      </c>
      <c r="B583" s="211"/>
      <c r="C583" s="61">
        <v>0</v>
      </c>
      <c r="D583" s="59">
        <v>21</v>
      </c>
      <c r="E583" s="59">
        <v>2</v>
      </c>
      <c r="F583" s="59">
        <v>1</v>
      </c>
      <c r="G583" s="59">
        <v>2</v>
      </c>
      <c r="H583" s="59">
        <v>0</v>
      </c>
      <c r="I583" s="59">
        <v>0</v>
      </c>
      <c r="J583" s="59">
        <v>49</v>
      </c>
      <c r="K583" s="59">
        <v>0</v>
      </c>
      <c r="L583" s="59">
        <v>0</v>
      </c>
      <c r="M583" s="59">
        <v>0</v>
      </c>
      <c r="N583" s="59">
        <v>0</v>
      </c>
      <c r="O583" s="59">
        <v>12</v>
      </c>
      <c r="P583" s="59">
        <v>0</v>
      </c>
      <c r="Q583" s="59">
        <v>0</v>
      </c>
      <c r="R583" s="59">
        <v>0</v>
      </c>
      <c r="S583" s="35">
        <f t="shared" si="271"/>
        <v>87</v>
      </c>
      <c r="T583" s="59"/>
      <c r="U583" s="59">
        <v>20</v>
      </c>
      <c r="V583" s="59">
        <v>16</v>
      </c>
      <c r="W583" s="59">
        <v>0</v>
      </c>
      <c r="X583" s="62">
        <v>0</v>
      </c>
      <c r="Y583" s="10"/>
      <c r="Z583" s="61">
        <v>2917376</v>
      </c>
      <c r="AA583" s="101"/>
      <c r="AB583" s="101"/>
      <c r="AC583" s="61">
        <v>929166</v>
      </c>
      <c r="AD583" s="59"/>
      <c r="AE583" s="35">
        <f t="shared" si="267"/>
        <v>929166</v>
      </c>
      <c r="AF583" s="10"/>
      <c r="AG583" s="61">
        <v>145</v>
      </c>
      <c r="AH583" s="59">
        <v>55</v>
      </c>
      <c r="AI583" s="59">
        <v>214</v>
      </c>
      <c r="AJ583" s="62"/>
      <c r="AK583" s="10"/>
      <c r="AL583" s="8"/>
      <c r="AM583" s="10"/>
      <c r="AN583" s="35"/>
      <c r="AO583" s="279"/>
      <c r="AP583" s="279"/>
      <c r="AQ583" s="281"/>
      <c r="AR583" s="59"/>
      <c r="AS583" s="59"/>
      <c r="AT583" s="59"/>
      <c r="AU583" s="59"/>
      <c r="AV583" s="62"/>
      <c r="AW583" s="10"/>
      <c r="AX583" s="326">
        <v>39184</v>
      </c>
      <c r="AY583" s="5">
        <v>-3</v>
      </c>
      <c r="AZ583" s="10"/>
      <c r="BA583" s="61"/>
      <c r="BB583" s="59"/>
      <c r="BC583" s="59"/>
      <c r="BD583" s="59"/>
      <c r="BE583" s="59"/>
      <c r="BF583" s="59"/>
      <c r="BG583" s="59"/>
      <c r="BH583" s="351"/>
      <c r="BI583" s="59"/>
      <c r="BJ583" s="342"/>
      <c r="BK583" s="342"/>
      <c r="BL583" s="320"/>
      <c r="BM583" s="62"/>
      <c r="BN583" s="10"/>
      <c r="BO583" s="8"/>
      <c r="BP583" s="62"/>
      <c r="BQ583" s="10"/>
      <c r="BR583" s="29">
        <v>2007</v>
      </c>
      <c r="BS583" s="64">
        <v>2007</v>
      </c>
      <c r="BT583" s="14">
        <v>8</v>
      </c>
      <c r="BU583" s="10"/>
      <c r="BV583" s="8">
        <v>2</v>
      </c>
      <c r="BW583" s="59">
        <v>0</v>
      </c>
      <c r="BX583" s="59">
        <v>0</v>
      </c>
      <c r="BY583" s="59">
        <v>0</v>
      </c>
      <c r="BZ583" s="59">
        <v>0</v>
      </c>
      <c r="CA583" s="59">
        <v>0</v>
      </c>
      <c r="CB583" s="59">
        <v>0</v>
      </c>
      <c r="CC583" s="221"/>
      <c r="CD583" s="59">
        <v>14</v>
      </c>
      <c r="CE583" s="59">
        <v>0</v>
      </c>
      <c r="CF583" s="222">
        <v>0</v>
      </c>
      <c r="CG583" s="59">
        <v>0</v>
      </c>
      <c r="CH583" s="59">
        <v>1</v>
      </c>
      <c r="CI583" s="59">
        <v>5</v>
      </c>
      <c r="CJ583" s="59">
        <v>15</v>
      </c>
      <c r="CK583" s="59"/>
      <c r="CL583" s="59">
        <v>0</v>
      </c>
      <c r="CM583" s="59">
        <v>0</v>
      </c>
      <c r="CN583" s="59">
        <v>0</v>
      </c>
      <c r="CO583" s="59">
        <v>9</v>
      </c>
      <c r="CP583" s="317"/>
      <c r="CQ583" s="59">
        <v>0</v>
      </c>
      <c r="CR583" s="59"/>
      <c r="CS583" s="59">
        <v>0</v>
      </c>
      <c r="CT583" s="59">
        <v>0</v>
      </c>
      <c r="CU583" s="222">
        <v>0</v>
      </c>
      <c r="CV583" s="59">
        <v>5</v>
      </c>
      <c r="CW583" s="59">
        <v>0</v>
      </c>
      <c r="CX583" s="222">
        <v>0</v>
      </c>
      <c r="CY583" s="59">
        <v>1</v>
      </c>
      <c r="CZ583" s="59">
        <v>0</v>
      </c>
      <c r="DA583" s="59">
        <v>0</v>
      </c>
      <c r="DB583" s="59">
        <v>17</v>
      </c>
      <c r="DC583" s="59">
        <v>0</v>
      </c>
      <c r="DD583" s="59">
        <v>0</v>
      </c>
      <c r="DE583" s="59">
        <v>0</v>
      </c>
      <c r="DF583" s="59">
        <v>0</v>
      </c>
      <c r="DG583" s="59">
        <v>8</v>
      </c>
      <c r="DH583" s="59">
        <v>0</v>
      </c>
      <c r="DI583" s="59">
        <v>0</v>
      </c>
      <c r="DJ583" s="59">
        <v>0</v>
      </c>
      <c r="DK583" s="59">
        <v>0</v>
      </c>
      <c r="DL583" s="59">
        <v>0</v>
      </c>
      <c r="DM583" s="59">
        <v>9</v>
      </c>
      <c r="DN583" s="59">
        <v>0</v>
      </c>
      <c r="DO583" s="59">
        <v>0</v>
      </c>
      <c r="DP583" s="59">
        <v>0</v>
      </c>
      <c r="DQ583" s="59">
        <v>0</v>
      </c>
      <c r="DR583" s="59"/>
      <c r="DS583" s="59">
        <v>1</v>
      </c>
      <c r="DT583" s="59">
        <v>0</v>
      </c>
      <c r="DU583" s="59">
        <v>0</v>
      </c>
      <c r="DV583" s="38">
        <f t="shared" si="270"/>
        <v>87</v>
      </c>
      <c r="DW583" s="14" t="str">
        <f t="shared" si="268"/>
        <v/>
      </c>
      <c r="DY583">
        <f t="shared" si="272"/>
        <v>87</v>
      </c>
      <c r="DZ583" t="str">
        <f t="shared" si="273"/>
        <v/>
      </c>
    </row>
    <row r="584" spans="1:130" customFormat="1">
      <c r="A584" s="210">
        <v>39203</v>
      </c>
      <c r="B584" s="211"/>
      <c r="C584" s="61">
        <v>3</v>
      </c>
      <c r="D584" s="59">
        <v>5</v>
      </c>
      <c r="E584" s="59">
        <v>1</v>
      </c>
      <c r="F584" s="59">
        <v>2</v>
      </c>
      <c r="G584" s="59">
        <v>1</v>
      </c>
      <c r="H584" s="59">
        <v>0</v>
      </c>
      <c r="I584" s="59">
        <v>0</v>
      </c>
      <c r="J584" s="59">
        <v>24</v>
      </c>
      <c r="K584" s="59">
        <v>0</v>
      </c>
      <c r="L584" s="59">
        <v>1</v>
      </c>
      <c r="M584" s="59">
        <v>0</v>
      </c>
      <c r="N584" s="59">
        <v>0</v>
      </c>
      <c r="O584" s="59">
        <v>2</v>
      </c>
      <c r="P584" s="59">
        <v>0</v>
      </c>
      <c r="Q584" s="59">
        <v>0</v>
      </c>
      <c r="R584" s="59">
        <v>0</v>
      </c>
      <c r="S584" s="35">
        <f>SUM(C584:R584)</f>
        <v>39</v>
      </c>
      <c r="T584" s="59"/>
      <c r="U584" s="59">
        <v>16</v>
      </c>
      <c r="V584" s="59">
        <v>14</v>
      </c>
      <c r="W584" s="59">
        <v>0</v>
      </c>
      <c r="X584" s="62">
        <v>0</v>
      </c>
      <c r="Y584" s="10"/>
      <c r="Z584" s="61">
        <v>2207744</v>
      </c>
      <c r="AA584" s="101"/>
      <c r="AB584" s="101"/>
      <c r="AC584" s="61">
        <v>194114</v>
      </c>
      <c r="AD584" s="59"/>
      <c r="AE584" s="35">
        <f t="shared" si="267"/>
        <v>194114</v>
      </c>
      <c r="AF584" s="10"/>
      <c r="AG584" s="61">
        <v>45</v>
      </c>
      <c r="AH584" s="59">
        <v>62</v>
      </c>
      <c r="AI584" s="59">
        <v>118</v>
      </c>
      <c r="AJ584" s="62"/>
      <c r="AK584" s="10"/>
      <c r="AL584" s="8"/>
      <c r="AM584" s="10"/>
      <c r="AN584" s="35"/>
      <c r="AO584" s="279"/>
      <c r="AP584" s="279"/>
      <c r="AQ584" s="281"/>
      <c r="AR584" s="59">
        <v>134</v>
      </c>
      <c r="AS584" s="59">
        <v>55</v>
      </c>
      <c r="AT584" s="59">
        <v>117</v>
      </c>
      <c r="AU584" s="59">
        <v>18</v>
      </c>
      <c r="AV584" s="62">
        <v>224</v>
      </c>
      <c r="AW584" s="10"/>
      <c r="AX584" s="326">
        <v>39202</v>
      </c>
      <c r="AY584" s="5">
        <v>-1</v>
      </c>
      <c r="AZ584" s="10"/>
      <c r="BA584" s="61">
        <v>1862</v>
      </c>
      <c r="BB584" s="59">
        <v>47867303</v>
      </c>
      <c r="BC584" s="59"/>
      <c r="BD584" s="59"/>
      <c r="BE584" s="59">
        <v>130</v>
      </c>
      <c r="BF584" s="59">
        <v>3</v>
      </c>
      <c r="BG584" s="59">
        <v>3</v>
      </c>
      <c r="BH584" s="351"/>
      <c r="BI584" s="59">
        <v>4005568</v>
      </c>
      <c r="BJ584" s="342">
        <v>39212</v>
      </c>
      <c r="BK584" s="342">
        <v>39217</v>
      </c>
      <c r="BL584" s="320">
        <f>BK584-BJ584</f>
        <v>5</v>
      </c>
      <c r="BM584" s="62"/>
      <c r="BN584" s="10"/>
      <c r="BO584" s="8"/>
      <c r="BP584" s="5">
        <v>163</v>
      </c>
      <c r="BQ584" s="10"/>
      <c r="BR584" s="29">
        <v>2007</v>
      </c>
      <c r="BS584" s="64">
        <v>2007</v>
      </c>
      <c r="BT584" s="14">
        <v>9</v>
      </c>
      <c r="BU584" s="10"/>
      <c r="BV584" s="8">
        <v>2</v>
      </c>
      <c r="BW584" s="59">
        <v>0</v>
      </c>
      <c r="BX584" s="59">
        <v>0</v>
      </c>
      <c r="BY584" s="59">
        <v>0</v>
      </c>
      <c r="BZ584" s="59">
        <v>0</v>
      </c>
      <c r="CA584" s="59">
        <v>0</v>
      </c>
      <c r="CB584" s="59">
        <v>0</v>
      </c>
      <c r="CC584" s="221"/>
      <c r="CD584" s="59">
        <v>4</v>
      </c>
      <c r="CE584" s="59">
        <v>0</v>
      </c>
      <c r="CF584" s="222">
        <v>0</v>
      </c>
      <c r="CG584" s="59">
        <v>0</v>
      </c>
      <c r="CH584" s="59">
        <v>0</v>
      </c>
      <c r="CI584" s="59">
        <v>0</v>
      </c>
      <c r="CJ584" s="59">
        <v>5</v>
      </c>
      <c r="CK584" s="59"/>
      <c r="CL584" s="59">
        <v>0</v>
      </c>
      <c r="CM584" s="59">
        <v>1</v>
      </c>
      <c r="CN584" s="59">
        <v>0</v>
      </c>
      <c r="CO584" s="59">
        <v>12</v>
      </c>
      <c r="CP584" s="317"/>
      <c r="CQ584" s="59">
        <v>0</v>
      </c>
      <c r="CR584" s="59"/>
      <c r="CS584" s="59">
        <v>0</v>
      </c>
      <c r="CT584" s="59">
        <v>1</v>
      </c>
      <c r="CU584" s="222">
        <v>0</v>
      </c>
      <c r="CV584" s="59">
        <v>9</v>
      </c>
      <c r="CW584" s="59">
        <v>0</v>
      </c>
      <c r="CX584" s="222">
        <v>0</v>
      </c>
      <c r="CY584" s="59">
        <v>0</v>
      </c>
      <c r="CZ584" s="59">
        <v>0</v>
      </c>
      <c r="DA584" s="59">
        <v>0</v>
      </c>
      <c r="DB584" s="59">
        <v>4</v>
      </c>
      <c r="DC584" s="59">
        <v>0</v>
      </c>
      <c r="DD584" s="59">
        <v>0</v>
      </c>
      <c r="DE584" s="59">
        <v>0</v>
      </c>
      <c r="DF584" s="59">
        <v>0</v>
      </c>
      <c r="DG584" s="59">
        <v>1</v>
      </c>
      <c r="DH584" s="59">
        <v>0</v>
      </c>
      <c r="DI584" s="59">
        <v>0</v>
      </c>
      <c r="DJ584" s="59">
        <v>0</v>
      </c>
      <c r="DK584" s="59">
        <v>0</v>
      </c>
      <c r="DL584" s="59">
        <v>0</v>
      </c>
      <c r="DM584" s="59">
        <v>0</v>
      </c>
      <c r="DN584" s="59">
        <v>0</v>
      </c>
      <c r="DO584" s="59">
        <v>0</v>
      </c>
      <c r="DP584" s="59">
        <v>0</v>
      </c>
      <c r="DQ584" s="59">
        <v>0</v>
      </c>
      <c r="DR584" s="59"/>
      <c r="DS584" s="59">
        <v>0</v>
      </c>
      <c r="DT584" s="59">
        <v>0</v>
      </c>
      <c r="DU584" s="59">
        <v>0</v>
      </c>
      <c r="DV584" s="38">
        <f t="shared" si="270"/>
        <v>39</v>
      </c>
      <c r="DW584" s="14" t="str">
        <f t="shared" si="268"/>
        <v/>
      </c>
      <c r="DY584">
        <f t="shared" si="272"/>
        <v>39</v>
      </c>
      <c r="DZ584" t="str">
        <f t="shared" si="273"/>
        <v/>
      </c>
    </row>
    <row r="585" spans="1:130" customFormat="1">
      <c r="A585" s="210">
        <v>39217</v>
      </c>
      <c r="B585" s="211"/>
      <c r="C585" s="61">
        <v>0</v>
      </c>
      <c r="D585" s="59">
        <v>32</v>
      </c>
      <c r="E585" s="59">
        <v>1</v>
      </c>
      <c r="F585" s="59">
        <v>0</v>
      </c>
      <c r="G585" s="59">
        <v>0</v>
      </c>
      <c r="H585" s="59">
        <v>0</v>
      </c>
      <c r="I585" s="59">
        <v>0</v>
      </c>
      <c r="J585" s="59">
        <v>45</v>
      </c>
      <c r="K585" s="59">
        <v>0</v>
      </c>
      <c r="L585" s="59">
        <v>1</v>
      </c>
      <c r="M585" s="59">
        <v>0</v>
      </c>
      <c r="N585" s="59">
        <v>0</v>
      </c>
      <c r="O585" s="59">
        <v>6</v>
      </c>
      <c r="P585" s="59">
        <v>0</v>
      </c>
      <c r="Q585" s="59">
        <v>0</v>
      </c>
      <c r="R585" s="59">
        <v>0</v>
      </c>
      <c r="S585" s="35">
        <f>SUM(C585:R585)</f>
        <v>85</v>
      </c>
      <c r="T585" s="59"/>
      <c r="U585" s="59">
        <v>18</v>
      </c>
      <c r="V585" s="59">
        <v>15</v>
      </c>
      <c r="W585" s="59">
        <v>0</v>
      </c>
      <c r="X585" s="62">
        <v>0</v>
      </c>
      <c r="Y585" s="10"/>
      <c r="Z585" s="61">
        <v>3154432</v>
      </c>
      <c r="AA585" s="101"/>
      <c r="AB585" s="101"/>
      <c r="AC585" s="61">
        <v>794888</v>
      </c>
      <c r="AD585" s="59"/>
      <c r="AE585" s="35">
        <f t="shared" si="267"/>
        <v>794888</v>
      </c>
      <c r="AF585" s="10"/>
      <c r="AG585" s="61">
        <v>127</v>
      </c>
      <c r="AH585" s="59">
        <v>67</v>
      </c>
      <c r="AI585" s="59">
        <v>206</v>
      </c>
      <c r="AJ585" s="62"/>
      <c r="AK585" s="10"/>
      <c r="AL585" s="8"/>
      <c r="AM585" s="10"/>
      <c r="AN585" s="35"/>
      <c r="AO585" s="279"/>
      <c r="AP585" s="279"/>
      <c r="AQ585" s="281"/>
      <c r="AR585" s="59">
        <v>134</v>
      </c>
      <c r="AS585" s="59">
        <v>55</v>
      </c>
      <c r="AT585" s="59">
        <v>117</v>
      </c>
      <c r="AU585" s="59">
        <v>18</v>
      </c>
      <c r="AV585" s="62">
        <v>224</v>
      </c>
      <c r="AW585" s="10"/>
      <c r="AX585" s="326">
        <v>39216</v>
      </c>
      <c r="AY585" s="5">
        <v>-1</v>
      </c>
      <c r="AZ585" s="10"/>
      <c r="BA585" s="8"/>
      <c r="BB585" s="10"/>
      <c r="BC585" s="10"/>
      <c r="BD585" s="10"/>
      <c r="BE585" s="10"/>
      <c r="BF585" s="10"/>
      <c r="BG585" s="10"/>
      <c r="BH585" s="30"/>
      <c r="BI585" s="10"/>
      <c r="BJ585" s="338"/>
      <c r="BK585" s="338"/>
      <c r="BL585" s="320"/>
      <c r="BM585" s="5"/>
      <c r="BN585" s="10"/>
      <c r="BO585" s="8"/>
      <c r="BP585" s="5"/>
      <c r="BQ585" s="10"/>
      <c r="BR585" s="29">
        <v>2007</v>
      </c>
      <c r="BS585" s="64">
        <v>2007</v>
      </c>
      <c r="BT585" s="14">
        <v>10</v>
      </c>
      <c r="BU585" s="10"/>
      <c r="BV585" s="8">
        <v>1</v>
      </c>
      <c r="BW585" s="59">
        <v>0</v>
      </c>
      <c r="BX585" s="59">
        <v>2</v>
      </c>
      <c r="BY585" s="59">
        <v>0</v>
      </c>
      <c r="BZ585" s="59">
        <v>0</v>
      </c>
      <c r="CA585" s="59">
        <v>0</v>
      </c>
      <c r="CB585" s="59">
        <v>0</v>
      </c>
      <c r="CC585" s="221"/>
      <c r="CD585" s="59">
        <v>20</v>
      </c>
      <c r="CE585" s="59">
        <v>0</v>
      </c>
      <c r="CF585" s="222">
        <v>0</v>
      </c>
      <c r="CG585" s="59">
        <v>0</v>
      </c>
      <c r="CH585" s="59">
        <v>0</v>
      </c>
      <c r="CI585" s="59">
        <v>1</v>
      </c>
      <c r="CJ585" s="59">
        <v>13</v>
      </c>
      <c r="CK585" s="59"/>
      <c r="CL585" s="59">
        <v>0</v>
      </c>
      <c r="CM585" s="59">
        <v>0</v>
      </c>
      <c r="CN585" s="59">
        <v>0</v>
      </c>
      <c r="CO585" s="59">
        <v>20</v>
      </c>
      <c r="CP585" s="317"/>
      <c r="CQ585" s="59">
        <v>0</v>
      </c>
      <c r="CR585" s="59"/>
      <c r="CS585" s="59">
        <v>15</v>
      </c>
      <c r="CT585" s="59">
        <v>2</v>
      </c>
      <c r="CU585" s="222">
        <v>0</v>
      </c>
      <c r="CV585" s="59">
        <v>3</v>
      </c>
      <c r="CW585" s="59">
        <v>0</v>
      </c>
      <c r="CX585" s="222">
        <v>0</v>
      </c>
      <c r="CY585" s="59">
        <v>1</v>
      </c>
      <c r="CZ585" s="59">
        <v>0</v>
      </c>
      <c r="DA585" s="59">
        <v>1</v>
      </c>
      <c r="DB585" s="59">
        <v>0</v>
      </c>
      <c r="DC585" s="59">
        <v>0</v>
      </c>
      <c r="DD585" s="59">
        <v>0</v>
      </c>
      <c r="DE585" s="59">
        <v>0</v>
      </c>
      <c r="DF585" s="59">
        <v>0</v>
      </c>
      <c r="DG585" s="59">
        <v>0</v>
      </c>
      <c r="DH585" s="59">
        <v>0</v>
      </c>
      <c r="DI585" s="59">
        <v>0</v>
      </c>
      <c r="DJ585" s="59">
        <v>2</v>
      </c>
      <c r="DK585" s="59">
        <v>0</v>
      </c>
      <c r="DL585" s="59">
        <v>0</v>
      </c>
      <c r="DM585" s="59">
        <v>0</v>
      </c>
      <c r="DN585" s="59">
        <v>0</v>
      </c>
      <c r="DO585" s="59">
        <v>0</v>
      </c>
      <c r="DP585" s="59">
        <v>0</v>
      </c>
      <c r="DQ585" s="59">
        <v>0</v>
      </c>
      <c r="DR585" s="59"/>
      <c r="DS585" s="59">
        <v>4</v>
      </c>
      <c r="DT585" s="59">
        <v>0</v>
      </c>
      <c r="DU585" s="59">
        <v>0</v>
      </c>
      <c r="DV585" s="38">
        <f t="shared" si="270"/>
        <v>85</v>
      </c>
      <c r="DW585" s="14" t="str">
        <f t="shared" si="268"/>
        <v/>
      </c>
      <c r="DY585">
        <f t="shared" si="272"/>
        <v>85</v>
      </c>
      <c r="DZ585" t="str">
        <f t="shared" si="273"/>
        <v/>
      </c>
    </row>
    <row r="586" spans="1:130" customFormat="1">
      <c r="A586" s="210">
        <v>39234</v>
      </c>
      <c r="B586" s="211"/>
      <c r="C586" s="8">
        <v>3</v>
      </c>
      <c r="D586" s="59">
        <v>22</v>
      </c>
      <c r="E586" s="59">
        <v>3</v>
      </c>
      <c r="F586" s="59">
        <v>0</v>
      </c>
      <c r="G586" s="59">
        <v>0</v>
      </c>
      <c r="H586" s="59">
        <v>0</v>
      </c>
      <c r="I586" s="59">
        <v>0</v>
      </c>
      <c r="J586" s="59">
        <v>9</v>
      </c>
      <c r="K586" s="59">
        <v>3</v>
      </c>
      <c r="L586" s="59">
        <v>0</v>
      </c>
      <c r="M586" s="59">
        <v>0</v>
      </c>
      <c r="N586" s="59">
        <v>0</v>
      </c>
      <c r="O586" s="59">
        <v>1</v>
      </c>
      <c r="P586" s="59">
        <v>0</v>
      </c>
      <c r="Q586" s="59">
        <v>0</v>
      </c>
      <c r="R586" s="59">
        <v>0</v>
      </c>
      <c r="S586" s="35">
        <f>SUM(C586:R586)</f>
        <v>41</v>
      </c>
      <c r="T586" s="59"/>
      <c r="U586" s="59">
        <v>19</v>
      </c>
      <c r="V586" s="59">
        <v>16</v>
      </c>
      <c r="W586" s="59">
        <v>0</v>
      </c>
      <c r="X586" s="62">
        <v>0</v>
      </c>
      <c r="Y586" s="10"/>
      <c r="Z586" s="61">
        <v>2986496</v>
      </c>
      <c r="AA586" s="101"/>
      <c r="AB586" s="101"/>
      <c r="AC586" s="61">
        <v>605455</v>
      </c>
      <c r="AD586" s="59"/>
      <c r="AE586" s="35">
        <f t="shared" si="267"/>
        <v>605455</v>
      </c>
      <c r="AF586" s="10"/>
      <c r="AG586" s="8">
        <v>86</v>
      </c>
      <c r="AH586" s="59">
        <v>75</v>
      </c>
      <c r="AI586" s="59">
        <v>172</v>
      </c>
      <c r="AJ586" s="5"/>
      <c r="AK586" s="10"/>
      <c r="AL586" s="8"/>
      <c r="AM586" s="10"/>
      <c r="AN586" s="35"/>
      <c r="AO586" s="279"/>
      <c r="AP586" s="279"/>
      <c r="AQ586" s="281"/>
      <c r="AR586" s="59">
        <v>136</v>
      </c>
      <c r="AS586" s="59">
        <v>55</v>
      </c>
      <c r="AT586" s="59">
        <v>118</v>
      </c>
      <c r="AU586" s="59">
        <v>17</v>
      </c>
      <c r="AV586" s="62">
        <v>226</v>
      </c>
      <c r="AW586" s="10"/>
      <c r="AX586" s="326">
        <v>39233</v>
      </c>
      <c r="AY586" s="5">
        <v>-1</v>
      </c>
      <c r="AZ586" s="10"/>
      <c r="BA586" s="8">
        <v>1866</v>
      </c>
      <c r="BB586" s="10">
        <v>48422786</v>
      </c>
      <c r="BC586" s="10"/>
      <c r="BD586" s="10"/>
      <c r="BE586" s="10">
        <v>98</v>
      </c>
      <c r="BF586" s="59">
        <v>7</v>
      </c>
      <c r="BG586" s="59">
        <v>3</v>
      </c>
      <c r="BH586" s="351"/>
      <c r="BI586" s="10">
        <v>4203733</v>
      </c>
      <c r="BJ586" s="338">
        <v>39243</v>
      </c>
      <c r="BK586" s="342">
        <v>39239</v>
      </c>
      <c r="BL586" s="320">
        <f>BK586-BJ586</f>
        <v>-4</v>
      </c>
      <c r="BM586" s="5"/>
      <c r="BN586" s="10"/>
      <c r="BO586" s="8"/>
      <c r="BP586" s="5">
        <v>163</v>
      </c>
      <c r="BQ586" s="10"/>
      <c r="BR586" s="29">
        <v>2007</v>
      </c>
      <c r="BS586" s="64">
        <v>2007</v>
      </c>
      <c r="BT586" s="14">
        <v>11</v>
      </c>
      <c r="BU586" s="10"/>
      <c r="BV586" s="8">
        <v>5</v>
      </c>
      <c r="BW586" s="59">
        <v>1</v>
      </c>
      <c r="BX586" s="59">
        <v>0</v>
      </c>
      <c r="BY586" s="59">
        <v>0</v>
      </c>
      <c r="BZ586" s="59">
        <v>0</v>
      </c>
      <c r="CA586" s="59">
        <v>0</v>
      </c>
      <c r="CB586" s="59">
        <v>0</v>
      </c>
      <c r="CC586" s="221"/>
      <c r="CD586" s="59">
        <v>3</v>
      </c>
      <c r="CE586" s="59">
        <v>0</v>
      </c>
      <c r="CF586" s="222">
        <v>0</v>
      </c>
      <c r="CG586" s="59">
        <v>0</v>
      </c>
      <c r="CH586" s="59">
        <v>0</v>
      </c>
      <c r="CI586" s="59">
        <v>7</v>
      </c>
      <c r="CJ586" s="59">
        <v>0</v>
      </c>
      <c r="CK586" s="59"/>
      <c r="CL586" s="59">
        <v>0</v>
      </c>
      <c r="CM586" s="59">
        <v>0</v>
      </c>
      <c r="CN586" s="59">
        <v>0</v>
      </c>
      <c r="CO586" s="59">
        <v>4</v>
      </c>
      <c r="CP586" s="317"/>
      <c r="CQ586" s="59">
        <v>0</v>
      </c>
      <c r="CR586" s="59"/>
      <c r="CS586" s="59">
        <v>0</v>
      </c>
      <c r="CT586" s="59">
        <v>1</v>
      </c>
      <c r="CU586" s="222">
        <v>0</v>
      </c>
      <c r="CV586" s="59">
        <v>3</v>
      </c>
      <c r="CW586" s="59">
        <v>1</v>
      </c>
      <c r="CX586" s="222">
        <v>0</v>
      </c>
      <c r="CY586" s="59">
        <v>1</v>
      </c>
      <c r="CZ586" s="59">
        <v>0</v>
      </c>
      <c r="DA586" s="59">
        <v>0</v>
      </c>
      <c r="DB586" s="59">
        <v>7</v>
      </c>
      <c r="DC586" s="59">
        <v>0</v>
      </c>
      <c r="DD586" s="59">
        <v>0</v>
      </c>
      <c r="DE586" s="59">
        <v>0</v>
      </c>
      <c r="DF586" s="59">
        <v>0</v>
      </c>
      <c r="DG586" s="59">
        <v>0</v>
      </c>
      <c r="DH586" s="59">
        <v>0</v>
      </c>
      <c r="DI586" s="59">
        <v>0</v>
      </c>
      <c r="DJ586" s="59">
        <v>0</v>
      </c>
      <c r="DK586" s="59">
        <v>0</v>
      </c>
      <c r="DL586" s="59">
        <v>0</v>
      </c>
      <c r="DM586" s="59">
        <v>8</v>
      </c>
      <c r="DN586" s="59">
        <v>0</v>
      </c>
      <c r="DO586" s="59">
        <v>0</v>
      </c>
      <c r="DP586" s="59">
        <v>0</v>
      </c>
      <c r="DQ586" s="59">
        <v>0</v>
      </c>
      <c r="DR586" s="59"/>
      <c r="DS586" s="59">
        <v>0</v>
      </c>
      <c r="DT586" s="59">
        <v>0</v>
      </c>
      <c r="DU586" s="59">
        <v>0</v>
      </c>
      <c r="DV586" s="38">
        <f t="shared" si="270"/>
        <v>41</v>
      </c>
      <c r="DW586" s="14" t="str">
        <f t="shared" si="268"/>
        <v/>
      </c>
      <c r="DY586">
        <f t="shared" si="272"/>
        <v>41</v>
      </c>
      <c r="DZ586" t="str">
        <f t="shared" si="273"/>
        <v/>
      </c>
    </row>
    <row r="587" spans="1:130" customFormat="1">
      <c r="A587" s="210">
        <v>39248</v>
      </c>
      <c r="B587" s="211"/>
      <c r="C587" s="8">
        <v>3</v>
      </c>
      <c r="D587" s="59">
        <v>16</v>
      </c>
      <c r="E587" s="59">
        <v>0</v>
      </c>
      <c r="F587" s="59">
        <v>0</v>
      </c>
      <c r="G587" s="59">
        <v>2</v>
      </c>
      <c r="H587" s="59">
        <v>1</v>
      </c>
      <c r="I587" s="59">
        <v>0</v>
      </c>
      <c r="J587" s="59">
        <v>25</v>
      </c>
      <c r="K587" s="59">
        <v>12</v>
      </c>
      <c r="L587" s="59">
        <v>0</v>
      </c>
      <c r="M587" s="59">
        <v>0</v>
      </c>
      <c r="N587" s="59">
        <v>0</v>
      </c>
      <c r="O587" s="59">
        <v>2</v>
      </c>
      <c r="P587" s="59">
        <v>14</v>
      </c>
      <c r="Q587" s="59">
        <v>0</v>
      </c>
      <c r="R587" s="59">
        <v>0</v>
      </c>
      <c r="S587" s="35">
        <f>SUM(C587:R587)</f>
        <v>75</v>
      </c>
      <c r="T587" s="59"/>
      <c r="U587" s="59">
        <v>23</v>
      </c>
      <c r="V587" s="59">
        <v>21</v>
      </c>
      <c r="W587" s="59">
        <v>0</v>
      </c>
      <c r="X587" s="5">
        <v>0</v>
      </c>
      <c r="Y587" s="10"/>
      <c r="Z587" s="61">
        <v>3033088</v>
      </c>
      <c r="AA587" s="101"/>
      <c r="AB587" s="101"/>
      <c r="AC587" s="61">
        <v>543844</v>
      </c>
      <c r="AD587" s="59"/>
      <c r="AE587" s="35">
        <f t="shared" si="267"/>
        <v>543844</v>
      </c>
      <c r="AF587" s="10"/>
      <c r="AG587" s="8">
        <v>68</v>
      </c>
      <c r="AH587" s="59">
        <v>80</v>
      </c>
      <c r="AI587" s="59">
        <v>164</v>
      </c>
      <c r="AJ587" s="5"/>
      <c r="AK587" s="10"/>
      <c r="AL587" s="8"/>
      <c r="AM587" s="10"/>
      <c r="AN587" s="35"/>
      <c r="AO587" s="279"/>
      <c r="AP587" s="279"/>
      <c r="AQ587" s="281"/>
      <c r="AR587" s="59">
        <v>135</v>
      </c>
      <c r="AS587" s="59">
        <v>55</v>
      </c>
      <c r="AT587" s="59">
        <v>118</v>
      </c>
      <c r="AU587" s="59">
        <v>17</v>
      </c>
      <c r="AV587" s="62">
        <v>226</v>
      </c>
      <c r="AW587" s="10"/>
      <c r="AX587" s="326">
        <v>39246</v>
      </c>
      <c r="AY587" s="5">
        <v>-2</v>
      </c>
      <c r="AZ587" s="10"/>
      <c r="BA587" s="8"/>
      <c r="BB587" s="10"/>
      <c r="BC587" s="10"/>
      <c r="BD587" s="10"/>
      <c r="BE587" s="59"/>
      <c r="BF587" s="59"/>
      <c r="BG587" s="59"/>
      <c r="BH587" s="351"/>
      <c r="BI587" s="10"/>
      <c r="BJ587" s="338"/>
      <c r="BK587" s="338"/>
      <c r="BL587" s="320"/>
      <c r="BM587" s="5"/>
      <c r="BN587" s="10"/>
      <c r="BO587" s="8"/>
      <c r="BP587" s="5"/>
      <c r="BQ587" s="10"/>
      <c r="BR587" s="29">
        <v>2007</v>
      </c>
      <c r="BS587" s="64">
        <v>2007</v>
      </c>
      <c r="BT587" s="14">
        <v>12</v>
      </c>
      <c r="BU587" s="10"/>
      <c r="BV587" s="8">
        <v>3</v>
      </c>
      <c r="BW587" s="59">
        <v>1</v>
      </c>
      <c r="BX587" s="59">
        <v>0</v>
      </c>
      <c r="BY587" s="59">
        <v>0</v>
      </c>
      <c r="BZ587" s="59">
        <v>0</v>
      </c>
      <c r="CA587" s="59">
        <v>1</v>
      </c>
      <c r="CB587" s="59">
        <v>0</v>
      </c>
      <c r="CC587" s="221"/>
      <c r="CD587" s="59">
        <v>2</v>
      </c>
      <c r="CE587" s="59">
        <v>7</v>
      </c>
      <c r="CF587" s="222">
        <v>0</v>
      </c>
      <c r="CG587" s="59">
        <v>0</v>
      </c>
      <c r="CH587" s="59">
        <v>0</v>
      </c>
      <c r="CI587" s="59">
        <v>0</v>
      </c>
      <c r="CJ587" s="59">
        <v>0</v>
      </c>
      <c r="CK587" s="59"/>
      <c r="CL587" s="59">
        <v>0</v>
      </c>
      <c r="CM587" s="59">
        <v>1</v>
      </c>
      <c r="CN587" s="59">
        <v>0</v>
      </c>
      <c r="CO587" s="59">
        <v>11</v>
      </c>
      <c r="CP587" s="317"/>
      <c r="CQ587" s="59">
        <v>0</v>
      </c>
      <c r="CR587" s="59"/>
      <c r="CS587" s="59">
        <v>0</v>
      </c>
      <c r="CT587" s="59">
        <v>19</v>
      </c>
      <c r="CU587" s="222">
        <v>0</v>
      </c>
      <c r="CV587" s="59">
        <v>7</v>
      </c>
      <c r="CW587" s="59">
        <v>0</v>
      </c>
      <c r="CX587" s="222">
        <v>0</v>
      </c>
      <c r="CY587" s="59">
        <v>2</v>
      </c>
      <c r="CZ587" s="59">
        <v>0</v>
      </c>
      <c r="DA587" s="59">
        <v>0</v>
      </c>
      <c r="DB587" s="59">
        <v>1</v>
      </c>
      <c r="DC587" s="59">
        <v>0</v>
      </c>
      <c r="DD587" s="59">
        <v>0</v>
      </c>
      <c r="DE587" s="59">
        <v>0</v>
      </c>
      <c r="DF587" s="59">
        <v>0</v>
      </c>
      <c r="DG587" s="59">
        <v>2</v>
      </c>
      <c r="DH587" s="59">
        <v>0</v>
      </c>
      <c r="DI587" s="59">
        <v>0</v>
      </c>
      <c r="DJ587" s="59">
        <v>0</v>
      </c>
      <c r="DK587" s="59">
        <v>0</v>
      </c>
      <c r="DL587" s="59">
        <v>0</v>
      </c>
      <c r="DM587" s="59">
        <v>0</v>
      </c>
      <c r="DN587" s="59">
        <v>1</v>
      </c>
      <c r="DO587" s="59">
        <v>6</v>
      </c>
      <c r="DP587" s="59">
        <v>0</v>
      </c>
      <c r="DQ587" s="59">
        <v>0</v>
      </c>
      <c r="DR587" s="59"/>
      <c r="DS587" s="59">
        <v>11</v>
      </c>
      <c r="DT587" s="59">
        <v>0</v>
      </c>
      <c r="DU587" s="59">
        <v>0</v>
      </c>
      <c r="DV587" s="38">
        <f t="shared" si="270"/>
        <v>75</v>
      </c>
      <c r="DW587" s="14" t="str">
        <f t="shared" si="268"/>
        <v/>
      </c>
      <c r="DY587">
        <f t="shared" si="272"/>
        <v>75</v>
      </c>
      <c r="DZ587" t="str">
        <f t="shared" si="273"/>
        <v/>
      </c>
    </row>
    <row r="588" spans="1:130" s="6" customFormat="1" ht="12" thickBot="1">
      <c r="A588" s="212" t="s">
        <v>214</v>
      </c>
      <c r="B588" s="83"/>
      <c r="C588" s="52">
        <f t="shared" ref="C588:X588" si="274">SUM(C564:C587)</f>
        <v>57</v>
      </c>
      <c r="D588" s="53">
        <f t="shared" si="274"/>
        <v>441</v>
      </c>
      <c r="E588" s="53">
        <f t="shared" si="274"/>
        <v>18</v>
      </c>
      <c r="F588" s="53">
        <f t="shared" si="274"/>
        <v>15</v>
      </c>
      <c r="G588" s="53">
        <f t="shared" si="274"/>
        <v>33</v>
      </c>
      <c r="H588" s="53">
        <f t="shared" si="274"/>
        <v>4</v>
      </c>
      <c r="I588" s="53">
        <f>SUM(I564:I587)</f>
        <v>0</v>
      </c>
      <c r="J588" s="53">
        <f t="shared" si="274"/>
        <v>492</v>
      </c>
      <c r="K588" s="53">
        <f t="shared" si="274"/>
        <v>39</v>
      </c>
      <c r="L588" s="53">
        <f t="shared" ref="L588:P588" si="275">SUM(L564:L587)</f>
        <v>4</v>
      </c>
      <c r="M588" s="53">
        <f t="shared" si="275"/>
        <v>0</v>
      </c>
      <c r="N588" s="53">
        <f t="shared" si="275"/>
        <v>0</v>
      </c>
      <c r="O588" s="53">
        <f>SUM(O564:O587)</f>
        <v>136</v>
      </c>
      <c r="P588" s="53">
        <f t="shared" si="275"/>
        <v>36</v>
      </c>
      <c r="Q588" s="53">
        <f t="shared" si="274"/>
        <v>4</v>
      </c>
      <c r="R588" s="53">
        <f t="shared" si="274"/>
        <v>2</v>
      </c>
      <c r="S588" s="55">
        <f t="shared" si="274"/>
        <v>1281</v>
      </c>
      <c r="T588" s="53">
        <f t="shared" si="274"/>
        <v>0</v>
      </c>
      <c r="U588" s="53">
        <f t="shared" si="274"/>
        <v>382</v>
      </c>
      <c r="V588" s="53">
        <f t="shared" ref="V588" si="276">SUM(V564:V587)</f>
        <v>340</v>
      </c>
      <c r="W588" s="53">
        <f t="shared" si="274"/>
        <v>0</v>
      </c>
      <c r="X588" s="54">
        <f t="shared" si="274"/>
        <v>3</v>
      </c>
      <c r="Z588" s="52">
        <f>SUM(Z564:Z587)</f>
        <v>57316864</v>
      </c>
      <c r="AA588" s="53">
        <f>SUM(AA564:AA587)</f>
        <v>0</v>
      </c>
      <c r="AB588" s="53"/>
      <c r="AC588" s="52">
        <f>SUM(AC564:AC587)</f>
        <v>12353243</v>
      </c>
      <c r="AD588" s="53">
        <f>SUM(AD564:AD587)</f>
        <v>0</v>
      </c>
      <c r="AE588" s="55">
        <f>SUM(AE564:AE587)</f>
        <v>12353243</v>
      </c>
      <c r="AG588" s="52">
        <f>SUM(AG564:AG587)</f>
        <v>1841</v>
      </c>
      <c r="AH588" s="53">
        <f>SUM(AH564:AH587)</f>
        <v>1512</v>
      </c>
      <c r="AI588" s="53">
        <f>SUM(AI564:AI587)</f>
        <v>3650</v>
      </c>
      <c r="AJ588" s="54">
        <f>SUM(AJ564:AJ587)</f>
        <v>0</v>
      </c>
      <c r="AL588" s="52">
        <f t="shared" ref="AL588:AV588" si="277">SUM(AL564:AL587)</f>
        <v>0</v>
      </c>
      <c r="AM588" s="53">
        <f t="shared" si="277"/>
        <v>199</v>
      </c>
      <c r="AN588" s="55">
        <f t="shared" si="277"/>
        <v>199</v>
      </c>
      <c r="AO588" s="283"/>
      <c r="AP588" s="283"/>
      <c r="AQ588" s="284"/>
      <c r="AR588" s="53">
        <f t="shared" si="277"/>
        <v>3157</v>
      </c>
      <c r="AS588" s="53">
        <f t="shared" si="277"/>
        <v>1106</v>
      </c>
      <c r="AT588" s="53">
        <f t="shared" si="277"/>
        <v>2110</v>
      </c>
      <c r="AU588" s="53">
        <f t="shared" si="277"/>
        <v>352</v>
      </c>
      <c r="AV588" s="54">
        <f t="shared" si="277"/>
        <v>4199</v>
      </c>
      <c r="AX588" s="329"/>
      <c r="AY588" s="54"/>
      <c r="BA588" s="52">
        <f t="shared" ref="BA588:BM588" si="278">SUM(BA564:BA587)</f>
        <v>22192</v>
      </c>
      <c r="BB588" s="53">
        <f t="shared" si="278"/>
        <v>547720654</v>
      </c>
      <c r="BC588" s="53">
        <f t="shared" si="278"/>
        <v>0</v>
      </c>
      <c r="BD588" s="53"/>
      <c r="BE588" s="53">
        <f t="shared" si="278"/>
        <v>976</v>
      </c>
      <c r="BF588" s="53">
        <f t="shared" si="278"/>
        <v>56</v>
      </c>
      <c r="BG588" s="53">
        <f t="shared" si="278"/>
        <v>13</v>
      </c>
      <c r="BH588" s="55"/>
      <c r="BI588" s="53">
        <f t="shared" si="278"/>
        <v>40788821</v>
      </c>
      <c r="BJ588" s="339"/>
      <c r="BK588" s="339"/>
      <c r="BL588" s="304"/>
      <c r="BM588" s="54">
        <f t="shared" si="278"/>
        <v>0</v>
      </c>
      <c r="BO588" s="52">
        <f>SUM(BO564:BO587)</f>
        <v>0</v>
      </c>
      <c r="BP588" s="54">
        <f>SUM(BP564:BP587)</f>
        <v>1933</v>
      </c>
      <c r="BR588" s="81" t="s">
        <v>218</v>
      </c>
      <c r="BS588" s="80"/>
      <c r="BT588" s="82"/>
      <c r="BV588" s="52">
        <f>SUM(BV564:BV587)</f>
        <v>33</v>
      </c>
      <c r="BW588" s="53">
        <f>SUM(BW564:BW587)</f>
        <v>36</v>
      </c>
      <c r="BX588" s="53">
        <f t="shared" ref="BX588:DU588" si="279">SUM(BX564:BX587)</f>
        <v>32</v>
      </c>
      <c r="BY588" s="53">
        <f t="shared" si="279"/>
        <v>2</v>
      </c>
      <c r="BZ588" s="53">
        <f t="shared" si="279"/>
        <v>0</v>
      </c>
      <c r="CA588" s="53">
        <f t="shared" si="279"/>
        <v>7</v>
      </c>
      <c r="CB588" s="53">
        <f t="shared" si="279"/>
        <v>1</v>
      </c>
      <c r="CC588" s="53">
        <f t="shared" si="279"/>
        <v>0</v>
      </c>
      <c r="CD588" s="53">
        <f t="shared" si="279"/>
        <v>146</v>
      </c>
      <c r="CE588" s="53">
        <f t="shared" si="279"/>
        <v>23</v>
      </c>
      <c r="CF588" s="53">
        <f t="shared" si="279"/>
        <v>0</v>
      </c>
      <c r="CG588" s="53">
        <f t="shared" si="279"/>
        <v>20</v>
      </c>
      <c r="CH588" s="53">
        <f t="shared" si="279"/>
        <v>5</v>
      </c>
      <c r="CI588" s="53">
        <f t="shared" si="279"/>
        <v>50</v>
      </c>
      <c r="CJ588" s="53">
        <f t="shared" si="279"/>
        <v>230</v>
      </c>
      <c r="CK588" s="53">
        <f t="shared" si="279"/>
        <v>0</v>
      </c>
      <c r="CL588" s="53">
        <f t="shared" si="279"/>
        <v>5</v>
      </c>
      <c r="CM588" s="53">
        <f t="shared" si="279"/>
        <v>8</v>
      </c>
      <c r="CN588" s="53">
        <f t="shared" si="279"/>
        <v>8</v>
      </c>
      <c r="CO588" s="53">
        <f t="shared" si="279"/>
        <v>98</v>
      </c>
      <c r="CP588" s="53">
        <f t="shared" si="279"/>
        <v>0</v>
      </c>
      <c r="CQ588" s="53">
        <f t="shared" si="279"/>
        <v>0</v>
      </c>
      <c r="CR588" s="53">
        <f t="shared" si="279"/>
        <v>0</v>
      </c>
      <c r="CS588" s="53">
        <f t="shared" si="279"/>
        <v>17</v>
      </c>
      <c r="CT588" s="53">
        <f t="shared" si="279"/>
        <v>58</v>
      </c>
      <c r="CU588" s="53">
        <f t="shared" si="279"/>
        <v>0</v>
      </c>
      <c r="CV588" s="53">
        <f t="shared" si="279"/>
        <v>79</v>
      </c>
      <c r="CW588" s="53">
        <f t="shared" si="279"/>
        <v>1</v>
      </c>
      <c r="CX588" s="53">
        <f t="shared" si="279"/>
        <v>0</v>
      </c>
      <c r="CY588" s="53">
        <f t="shared" si="279"/>
        <v>21</v>
      </c>
      <c r="CZ588" s="53">
        <f t="shared" si="279"/>
        <v>0</v>
      </c>
      <c r="DA588" s="53">
        <f t="shared" si="279"/>
        <v>3</v>
      </c>
      <c r="DB588" s="53">
        <f t="shared" si="279"/>
        <v>113</v>
      </c>
      <c r="DC588" s="53">
        <f t="shared" si="279"/>
        <v>0</v>
      </c>
      <c r="DD588" s="53">
        <f t="shared" si="279"/>
        <v>1</v>
      </c>
      <c r="DE588" s="53">
        <f t="shared" si="279"/>
        <v>1</v>
      </c>
      <c r="DF588" s="53">
        <f t="shared" si="279"/>
        <v>0</v>
      </c>
      <c r="DG588" s="53">
        <f t="shared" si="279"/>
        <v>67</v>
      </c>
      <c r="DH588" s="53">
        <f t="shared" si="279"/>
        <v>14</v>
      </c>
      <c r="DI588" s="53">
        <f t="shared" si="279"/>
        <v>11</v>
      </c>
      <c r="DJ588" s="53">
        <f t="shared" si="279"/>
        <v>7</v>
      </c>
      <c r="DK588" s="53">
        <f t="shared" si="279"/>
        <v>3</v>
      </c>
      <c r="DL588" s="53">
        <f t="shared" si="279"/>
        <v>0</v>
      </c>
      <c r="DM588" s="53">
        <f t="shared" si="279"/>
        <v>71</v>
      </c>
      <c r="DN588" s="53">
        <f t="shared" si="279"/>
        <v>4</v>
      </c>
      <c r="DO588" s="53">
        <f t="shared" si="279"/>
        <v>47</v>
      </c>
      <c r="DP588" s="53">
        <f t="shared" si="279"/>
        <v>0</v>
      </c>
      <c r="DQ588" s="53">
        <f t="shared" si="279"/>
        <v>0</v>
      </c>
      <c r="DR588" s="53">
        <f t="shared" si="279"/>
        <v>0</v>
      </c>
      <c r="DS588" s="53">
        <f t="shared" si="279"/>
        <v>57</v>
      </c>
      <c r="DT588" s="53">
        <f t="shared" si="279"/>
        <v>0</v>
      </c>
      <c r="DU588" s="53">
        <f t="shared" si="279"/>
        <v>2</v>
      </c>
      <c r="DV588" s="54">
        <f t="shared" si="270"/>
        <v>1281</v>
      </c>
      <c r="DW588" s="48"/>
      <c r="DY588">
        <f>SUM(DY564:DY587)</f>
        <v>1281</v>
      </c>
      <c r="DZ588" t="str">
        <f t="shared" si="273"/>
        <v/>
      </c>
    </row>
    <row r="589" spans="1:130" s="6" customFormat="1" ht="12" thickTop="1">
      <c r="A589" s="213" t="s">
        <v>215</v>
      </c>
      <c r="B589" s="24"/>
      <c r="C589" s="39">
        <f t="shared" ref="C589:R589" si="280">ROUND(IF(ISERROR(AVERAGE(C564:C587)),0,AVERAGE(C564:C587)),0)</f>
        <v>2</v>
      </c>
      <c r="D589" s="24">
        <f t="shared" si="280"/>
        <v>18</v>
      </c>
      <c r="E589" s="24">
        <f t="shared" si="280"/>
        <v>1</v>
      </c>
      <c r="F589" s="24">
        <f t="shared" si="280"/>
        <v>1</v>
      </c>
      <c r="G589" s="24">
        <f t="shared" si="280"/>
        <v>1</v>
      </c>
      <c r="H589" s="24">
        <f t="shared" si="280"/>
        <v>0</v>
      </c>
      <c r="I589" s="24">
        <f>ROUND(IF(ISERROR(AVERAGE(I564:I587)),0,AVERAGE(I564:I587)),0)</f>
        <v>0</v>
      </c>
      <c r="J589" s="24">
        <f t="shared" si="280"/>
        <v>21</v>
      </c>
      <c r="K589" s="24">
        <f t="shared" si="280"/>
        <v>2</v>
      </c>
      <c r="L589" s="24">
        <f t="shared" ref="L589:P589" si="281">ROUND(IF(ISERROR(AVERAGE(L564:L587)),0,AVERAGE(L564:L587)),0)</f>
        <v>0</v>
      </c>
      <c r="M589" s="24">
        <f t="shared" si="281"/>
        <v>0</v>
      </c>
      <c r="N589" s="24">
        <f t="shared" si="281"/>
        <v>0</v>
      </c>
      <c r="O589" s="24">
        <f>ROUND(IF(ISERROR(AVERAGE(O564:O587)),0,AVERAGE(O564:O587)),0)</f>
        <v>6</v>
      </c>
      <c r="P589" s="24">
        <f t="shared" si="281"/>
        <v>2</v>
      </c>
      <c r="Q589" s="24">
        <f t="shared" si="280"/>
        <v>0</v>
      </c>
      <c r="R589" s="24">
        <f t="shared" si="280"/>
        <v>0</v>
      </c>
      <c r="S589" s="31">
        <f>SUM(C589:R589)</f>
        <v>54</v>
      </c>
      <c r="T589" s="24">
        <f>ROUND(IF(ISERROR(AVERAGE(T564:T587)),0,AVERAGE(T564:T587)),0)</f>
        <v>0</v>
      </c>
      <c r="U589" s="24">
        <f>ROUND(IF(ISERROR(AVERAGE(U564:U587)),0,AVERAGE(U564:U587)),0)</f>
        <v>16</v>
      </c>
      <c r="V589" s="24">
        <f>ROUND(IF(ISERROR(AVERAGE(V564:V587)),0,AVERAGE(V564:V587)),0)</f>
        <v>14</v>
      </c>
      <c r="W589" s="24">
        <f>ROUND(IF(ISERROR(AVERAGE(W564:W587)),0,AVERAGE(W564:W587)),0)</f>
        <v>0</v>
      </c>
      <c r="X589" s="40">
        <f>ROUND(IF(ISERROR(AVERAGE(X564:X587)),0,AVERAGE(X564:X587)),0)</f>
        <v>0</v>
      </c>
      <c r="Z589" s="39">
        <f>ROUND(IF(ISERROR(AVERAGE(Z564:Z587)),0,AVERAGE(Z564:Z587)),0)</f>
        <v>2388203</v>
      </c>
      <c r="AA589" s="24">
        <f>ROUND(IF(ISERROR(AVERAGE(AA564:AA587)),0,AVERAGE(AA564:AA587)),0)</f>
        <v>0</v>
      </c>
      <c r="AB589" s="24"/>
      <c r="AC589" s="39">
        <f>ROUND(IF(ISERROR(AVERAGE(AC564:AC587)),0,AVERAGE(AC564:AC587)),0)</f>
        <v>514718</v>
      </c>
      <c r="AD589" s="24">
        <f>ROUND(IF(ISERROR(AVERAGE(AD564:AD587)),0,AVERAGE(AD564:AD587)),0)</f>
        <v>0</v>
      </c>
      <c r="AE589" s="31">
        <f>SUM(AC589:AD589)</f>
        <v>514718</v>
      </c>
      <c r="AG589" s="39">
        <f>ROUND(IF(ISERROR(AVERAGE(AG564:AG587)),0,AVERAGE(AG564:AG587)),0)</f>
        <v>77</v>
      </c>
      <c r="AH589" s="24">
        <f>ROUND(IF(ISERROR(AVERAGE(AH564:AH587)),0,AVERAGE(AH564:AH587)),0)</f>
        <v>63</v>
      </c>
      <c r="AI589" s="24">
        <f>ROUND(IF(ISERROR(AVERAGE(AI564:AI587)),0,AVERAGE(AI564:AI587)),0)</f>
        <v>152</v>
      </c>
      <c r="AJ589" s="40">
        <f>ROUND(IF(ISERROR(AVERAGE(AJ564:AJ587)),0,AVERAGE(AJ564:AJ587)),0)</f>
        <v>0</v>
      </c>
      <c r="AL589" s="39">
        <f>ROUND(IF(ISERROR(AVERAGE(AL564:AL587)),0,AVERAGE(AL564:AL587)),0)</f>
        <v>0</v>
      </c>
      <c r="AM589" s="24">
        <f>ROUND(IF(ISERROR(AVERAGE(AM564:AM587)),0,AVERAGE(AM564:AM587)),0)</f>
        <v>50</v>
      </c>
      <c r="AN589" s="31">
        <f>SUM(AL589:AM589)</f>
        <v>50</v>
      </c>
      <c r="AO589" s="285"/>
      <c r="AP589" s="285"/>
      <c r="AQ589" s="281"/>
      <c r="AR589" s="24">
        <f>ROUND(IF(ISERROR(AVERAGE(AR564:AR587)),0,AVERAGE(AR564:AR587)),0)</f>
        <v>137</v>
      </c>
      <c r="AS589" s="24">
        <f>ROUND(IF(ISERROR(AVERAGE(AS564:AS587)),0,AVERAGE(AS564:AS587)),0)</f>
        <v>55</v>
      </c>
      <c r="AT589" s="24">
        <f>ROUND(IF(ISERROR(AVERAGE(AT564:AT587)),0,AVERAGE(AT564:AT587)),0)</f>
        <v>106</v>
      </c>
      <c r="AU589" s="24">
        <f>ROUND(IF(ISERROR(AVERAGE(AU564:AU587)),0,AVERAGE(AU564:AU587)),0)</f>
        <v>18</v>
      </c>
      <c r="AV589" s="40">
        <f>ROUND(IF(ISERROR(AVERAGE(AV564:AV587)),0,AVERAGE(AV564:AV587)),0)</f>
        <v>210</v>
      </c>
      <c r="AX589" s="330"/>
      <c r="AY589" s="40">
        <f>ROUND(IF(ISERROR(AVERAGE(AY564:AY587)),0,AVERAGE(AY564:AY587)),0)</f>
        <v>-3</v>
      </c>
      <c r="BA589" s="39">
        <f t="shared" ref="BA589:BM589" si="282">ROUND(IF(ISERROR(AVERAGE(BA564:BA587)),0,AVERAGE(BA564:BA587)),0)</f>
        <v>1849</v>
      </c>
      <c r="BB589" s="24">
        <f t="shared" si="282"/>
        <v>45643388</v>
      </c>
      <c r="BC589" s="24">
        <f t="shared" si="282"/>
        <v>0</v>
      </c>
      <c r="BD589" s="24"/>
      <c r="BE589" s="24">
        <f t="shared" si="282"/>
        <v>81</v>
      </c>
      <c r="BF589" s="24">
        <f t="shared" si="282"/>
        <v>5</v>
      </c>
      <c r="BG589" s="24">
        <f t="shared" si="282"/>
        <v>1</v>
      </c>
      <c r="BH589" s="31"/>
      <c r="BI589" s="24">
        <f t="shared" si="282"/>
        <v>3399068</v>
      </c>
      <c r="BJ589" s="340"/>
      <c r="BK589" s="340"/>
      <c r="BL589" s="305">
        <f>AVERAGE(BL564:BL587)</f>
        <v>1.9166666666666667</v>
      </c>
      <c r="BM589" s="40">
        <f t="shared" si="282"/>
        <v>0</v>
      </c>
      <c r="BO589" s="39">
        <f>ROUND(IF(ISERROR(AVERAGE(BO564:BO587)),0,AVERAGE(BO564:BO587)),0)</f>
        <v>0</v>
      </c>
      <c r="BP589" s="40">
        <f>ROUND(IF(ISERROR(AVERAGE(BP564:BP587)),0,AVERAGE(BP564:BP587)),0)</f>
        <v>161</v>
      </c>
      <c r="BR589" s="65" t="s">
        <v>222</v>
      </c>
      <c r="BS589" s="19"/>
      <c r="BT589" s="14"/>
      <c r="BV589" s="39">
        <f>ROUND(IF(ISERROR(AVERAGE(BV564:BV587)),0,AVERAGE(BV564:BV587)),0)</f>
        <v>1</v>
      </c>
      <c r="BW589" s="24">
        <f>ROUND(IF(ISERROR(AVERAGE(BW564:BW587)),0,AVERAGE(BW564:BW587)),0)</f>
        <v>2</v>
      </c>
      <c r="BX589" s="24">
        <f t="shared" ref="BX589:DU589" si="283">ROUND(IF(ISERROR(AVERAGE(BX564:BX587)),0,AVERAGE(BX564:BX587)),0)</f>
        <v>1</v>
      </c>
      <c r="BY589" s="24">
        <f t="shared" si="283"/>
        <v>0</v>
      </c>
      <c r="BZ589" s="24">
        <f t="shared" si="283"/>
        <v>0</v>
      </c>
      <c r="CA589" s="24">
        <f t="shared" si="283"/>
        <v>0</v>
      </c>
      <c r="CB589" s="24">
        <f t="shared" si="283"/>
        <v>0</v>
      </c>
      <c r="CC589" s="24">
        <f t="shared" si="283"/>
        <v>0</v>
      </c>
      <c r="CD589" s="24">
        <f t="shared" si="283"/>
        <v>6</v>
      </c>
      <c r="CE589" s="24">
        <f t="shared" si="283"/>
        <v>1</v>
      </c>
      <c r="CF589" s="24">
        <f t="shared" si="283"/>
        <v>0</v>
      </c>
      <c r="CG589" s="24">
        <f t="shared" si="283"/>
        <v>1</v>
      </c>
      <c r="CH589" s="24">
        <f t="shared" si="283"/>
        <v>0</v>
      </c>
      <c r="CI589" s="24">
        <f t="shared" si="283"/>
        <v>2</v>
      </c>
      <c r="CJ589" s="24">
        <f t="shared" si="283"/>
        <v>10</v>
      </c>
      <c r="CK589" s="24">
        <f t="shared" si="283"/>
        <v>0</v>
      </c>
      <c r="CL589" s="24">
        <f t="shared" si="283"/>
        <v>0</v>
      </c>
      <c r="CM589" s="24">
        <f t="shared" si="283"/>
        <v>0</v>
      </c>
      <c r="CN589" s="24">
        <f t="shared" si="283"/>
        <v>0</v>
      </c>
      <c r="CO589" s="24">
        <f t="shared" si="283"/>
        <v>4</v>
      </c>
      <c r="CP589" s="24">
        <f t="shared" si="283"/>
        <v>0</v>
      </c>
      <c r="CQ589" s="24">
        <f t="shared" si="283"/>
        <v>0</v>
      </c>
      <c r="CR589" s="24">
        <f t="shared" si="283"/>
        <v>0</v>
      </c>
      <c r="CS589" s="24">
        <f t="shared" si="283"/>
        <v>1</v>
      </c>
      <c r="CT589" s="24">
        <f t="shared" si="283"/>
        <v>2</v>
      </c>
      <c r="CU589" s="24">
        <f t="shared" si="283"/>
        <v>0</v>
      </c>
      <c r="CV589" s="24">
        <f t="shared" si="283"/>
        <v>3</v>
      </c>
      <c r="CW589" s="24">
        <f t="shared" si="283"/>
        <v>0</v>
      </c>
      <c r="CX589" s="24">
        <f t="shared" si="283"/>
        <v>0</v>
      </c>
      <c r="CY589" s="24">
        <f t="shared" si="283"/>
        <v>1</v>
      </c>
      <c r="CZ589" s="24">
        <f t="shared" si="283"/>
        <v>0</v>
      </c>
      <c r="DA589" s="24">
        <f t="shared" si="283"/>
        <v>0</v>
      </c>
      <c r="DB589" s="24">
        <f t="shared" si="283"/>
        <v>5</v>
      </c>
      <c r="DC589" s="24">
        <f t="shared" si="283"/>
        <v>0</v>
      </c>
      <c r="DD589" s="24">
        <f t="shared" si="283"/>
        <v>0</v>
      </c>
      <c r="DE589" s="24">
        <f t="shared" si="283"/>
        <v>0</v>
      </c>
      <c r="DF589" s="24">
        <f t="shared" si="283"/>
        <v>0</v>
      </c>
      <c r="DG589" s="24">
        <f t="shared" si="283"/>
        <v>3</v>
      </c>
      <c r="DH589" s="24">
        <f t="shared" si="283"/>
        <v>1</v>
      </c>
      <c r="DI589" s="24">
        <f t="shared" si="283"/>
        <v>0</v>
      </c>
      <c r="DJ589" s="24">
        <f t="shared" si="283"/>
        <v>0</v>
      </c>
      <c r="DK589" s="24">
        <f t="shared" si="283"/>
        <v>0</v>
      </c>
      <c r="DL589" s="24">
        <f t="shared" si="283"/>
        <v>0</v>
      </c>
      <c r="DM589" s="24">
        <f t="shared" si="283"/>
        <v>3</v>
      </c>
      <c r="DN589" s="24">
        <f t="shared" si="283"/>
        <v>0</v>
      </c>
      <c r="DO589" s="24">
        <f t="shared" si="283"/>
        <v>2</v>
      </c>
      <c r="DP589" s="24">
        <f t="shared" si="283"/>
        <v>0</v>
      </c>
      <c r="DQ589" s="24">
        <f t="shared" si="283"/>
        <v>0</v>
      </c>
      <c r="DR589" s="24">
        <f t="shared" si="283"/>
        <v>0</v>
      </c>
      <c r="DS589" s="24">
        <f t="shared" si="283"/>
        <v>2</v>
      </c>
      <c r="DT589" s="24">
        <f t="shared" si="283"/>
        <v>0</v>
      </c>
      <c r="DU589" s="24">
        <f t="shared" si="283"/>
        <v>0</v>
      </c>
      <c r="DV589" s="18"/>
      <c r="DW589" s="48"/>
    </row>
    <row r="590" spans="1:130" customFormat="1">
      <c r="A590" s="210" t="s">
        <v>216</v>
      </c>
      <c r="B590" s="211"/>
      <c r="C590" s="8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30">
        <f>MEDIAN(S564:S587)</f>
        <v>48</v>
      </c>
      <c r="T590" s="10"/>
      <c r="U590" s="10"/>
      <c r="V590" s="10"/>
      <c r="W590" s="10"/>
      <c r="X590" s="5"/>
      <c r="Y590" s="10"/>
      <c r="Z590" s="8"/>
      <c r="AA590" s="10" t="str">
        <f>IF(ISERROR(MEDIAN(AA564:AA587)),"",MEDIAN(AA564:AA587))</f>
        <v/>
      </c>
      <c r="AB590" s="10"/>
      <c r="AC590" s="8"/>
      <c r="AD590" s="10"/>
      <c r="AE590" s="30"/>
      <c r="AF590" s="10"/>
      <c r="AG590" s="8"/>
      <c r="AH590" s="10"/>
      <c r="AI590" s="10">
        <f>IF(ISERROR(MEDIAN(AI564:AI587)),"",MEDIAN(AI564:AI587))</f>
        <v>154</v>
      </c>
      <c r="AJ590" s="5" t="str">
        <f>IF(ISERROR(MEDIAN(AJ564:AJ587)),"",MEDIAN(AJ564:AJ587))</f>
        <v/>
      </c>
      <c r="AK590" s="10"/>
      <c r="AL590" s="8"/>
      <c r="AM590" s="10"/>
      <c r="AN590" s="30"/>
      <c r="AO590" s="10"/>
      <c r="AP590" s="10"/>
      <c r="AQ590" s="30"/>
      <c r="AR590" s="10"/>
      <c r="AS590" s="10"/>
      <c r="AT590" s="10"/>
      <c r="AU590" s="10"/>
      <c r="AV590" s="5"/>
      <c r="AW590" s="10"/>
      <c r="AX590" s="326"/>
      <c r="AY590" s="5"/>
      <c r="AZ590" s="10"/>
      <c r="BA590" s="8">
        <f>IF(ISERROR(MEDIAN(BA564:BA587)),"",MEDIAN(BA564:BA587))</f>
        <v>1850</v>
      </c>
      <c r="BB590" s="10"/>
      <c r="BC590" s="10"/>
      <c r="BD590" s="10"/>
      <c r="BE590" s="10"/>
      <c r="BF590" s="10"/>
      <c r="BG590" s="10"/>
      <c r="BH590" s="30"/>
      <c r="BI590" s="10"/>
      <c r="BJ590" s="338"/>
      <c r="BK590" s="338"/>
      <c r="BL590" s="303"/>
      <c r="BM590" s="5"/>
      <c r="BN590" s="10"/>
      <c r="BO590" s="8"/>
      <c r="BP590" s="5"/>
      <c r="BQ590" s="10"/>
      <c r="BR590" s="65"/>
      <c r="BS590" s="19"/>
      <c r="BT590" s="14"/>
      <c r="BU590" s="10"/>
      <c r="BV590" s="8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5"/>
      <c r="DW590" s="21"/>
    </row>
    <row r="591" spans="1:130" customFormat="1" ht="12" thickBot="1">
      <c r="A591" s="214" t="s">
        <v>217</v>
      </c>
      <c r="B591" s="195"/>
      <c r="C591" s="41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32">
        <f>MODE(S564:S587)</f>
        <v>41</v>
      </c>
      <c r="T591" s="22"/>
      <c r="U591" s="63"/>
      <c r="V591" s="63"/>
      <c r="W591" s="22"/>
      <c r="X591" s="42"/>
      <c r="Y591" s="22"/>
      <c r="Z591" s="41"/>
      <c r="AA591" s="22"/>
      <c r="AB591" s="22"/>
      <c r="AC591" s="41"/>
      <c r="AD591" s="22"/>
      <c r="AE591" s="32"/>
      <c r="AF591" s="22"/>
      <c r="AG591" s="41"/>
      <c r="AH591" s="22"/>
      <c r="AI591" s="22">
        <f>IF(ISERROR(MODE(AI564:AI587)),"",MODE(AI564:AI587))</f>
        <v>214</v>
      </c>
      <c r="AJ591" s="42" t="str">
        <f>IF(ISERROR(MODE(AJ564:AJ587)),"",MODE(AJ564:AJ587))</f>
        <v/>
      </c>
      <c r="AK591" s="22"/>
      <c r="AL591" s="41"/>
      <c r="AM591" s="22"/>
      <c r="AN591" s="32"/>
      <c r="AO591" s="22"/>
      <c r="AP591" s="22"/>
      <c r="AQ591" s="32"/>
      <c r="AR591" s="22"/>
      <c r="AS591" s="22"/>
      <c r="AT591" s="22"/>
      <c r="AU591" s="22"/>
      <c r="AV591" s="42"/>
      <c r="AW591" s="22"/>
      <c r="AX591" s="331"/>
      <c r="AY591" s="42"/>
      <c r="AZ591" s="22"/>
      <c r="BA591" s="41"/>
      <c r="BB591" s="22"/>
      <c r="BC591" s="22"/>
      <c r="BD591" s="22"/>
      <c r="BE591" s="22"/>
      <c r="BF591" s="22"/>
      <c r="BG591" s="22"/>
      <c r="BH591" s="32"/>
      <c r="BI591" s="22"/>
      <c r="BJ591" s="341"/>
      <c r="BK591" s="341"/>
      <c r="BL591" s="306"/>
      <c r="BM591" s="42"/>
      <c r="BN591" s="22"/>
      <c r="BO591" s="41"/>
      <c r="BP591" s="42"/>
      <c r="BQ591" s="22"/>
      <c r="BR591" s="66"/>
      <c r="BS591" s="51"/>
      <c r="BT591" s="67"/>
      <c r="BU591" s="22"/>
      <c r="BV591" s="41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2"/>
      <c r="CP591" s="22"/>
      <c r="CQ591" s="22"/>
      <c r="CR591" s="22"/>
      <c r="CS591" s="22"/>
      <c r="CT591" s="22"/>
      <c r="CU591" s="22"/>
      <c r="CV591" s="22"/>
      <c r="CW591" s="22"/>
      <c r="CX591" s="22"/>
      <c r="CY591" s="22"/>
      <c r="CZ591" s="22"/>
      <c r="DA591" s="22"/>
      <c r="DB591" s="22"/>
      <c r="DC591" s="22"/>
      <c r="DD591" s="22"/>
      <c r="DE591" s="22"/>
      <c r="DF591" s="22"/>
      <c r="DG591" s="22"/>
      <c r="DH591" s="22"/>
      <c r="DI591" s="22"/>
      <c r="DJ591" s="22"/>
      <c r="DK591" s="22"/>
      <c r="DL591" s="22"/>
      <c r="DM591" s="22"/>
      <c r="DN591" s="22"/>
      <c r="DO591" s="22"/>
      <c r="DP591" s="22"/>
      <c r="DQ591" s="22"/>
      <c r="DR591" s="22"/>
      <c r="DS591" s="22"/>
      <c r="DT591" s="22"/>
      <c r="DU591" s="22"/>
      <c r="DV591" s="42"/>
      <c r="DW591" s="23"/>
    </row>
    <row r="592" spans="1:130" customFormat="1">
      <c r="A592" s="194" t="s">
        <v>182</v>
      </c>
      <c r="B592" s="194"/>
      <c r="C592" s="8">
        <f>COUNTA(C564:C587)</f>
        <v>24</v>
      </c>
      <c r="D592" s="10"/>
      <c r="E592" s="10"/>
      <c r="F592" s="10">
        <f>SUM(C588:F588)</f>
        <v>531</v>
      </c>
      <c r="G592" s="98">
        <f>G588/F592</f>
        <v>6.2146892655367235E-2</v>
      </c>
      <c r="H592" s="104">
        <f>H588/S588</f>
        <v>3.1225604996096799E-3</v>
      </c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30"/>
      <c r="T592" s="10"/>
      <c r="U592" s="98">
        <f>U588/S588</f>
        <v>0.29820452771272443</v>
      </c>
      <c r="V592" s="98">
        <f>V588/S588</f>
        <v>0.26541764246682281</v>
      </c>
      <c r="W592" s="276">
        <f>W588/S588</f>
        <v>0</v>
      </c>
      <c r="X592" s="276">
        <f>X588/S588</f>
        <v>2.34192037470726E-3</v>
      </c>
      <c r="Y592" s="10"/>
      <c r="Z592" s="8"/>
      <c r="AA592" s="10"/>
      <c r="AB592" s="10"/>
      <c r="AC592" s="8"/>
      <c r="AD592" s="10"/>
      <c r="AE592" s="30"/>
      <c r="AF592" s="10"/>
      <c r="AG592" s="8"/>
      <c r="AH592" s="10"/>
      <c r="AI592" s="10"/>
      <c r="AJ592" s="5"/>
      <c r="AK592" s="10"/>
      <c r="AL592" s="8"/>
      <c r="AM592" s="10"/>
      <c r="AN592" s="30"/>
      <c r="AO592" s="10"/>
      <c r="AP592" s="10"/>
      <c r="AQ592" s="30"/>
      <c r="AR592" s="10"/>
      <c r="AS592" s="10"/>
      <c r="AT592" s="10"/>
      <c r="AU592" s="10"/>
      <c r="AV592" s="5"/>
      <c r="AW592" s="10"/>
      <c r="AX592" s="326"/>
      <c r="AY592" s="5"/>
      <c r="AZ592" s="10"/>
      <c r="BA592" s="8"/>
      <c r="BB592" s="10"/>
      <c r="BC592" s="10"/>
      <c r="BD592" s="10"/>
      <c r="BE592" s="10"/>
      <c r="BF592" s="10"/>
      <c r="BG592" s="10"/>
      <c r="BH592" s="30"/>
      <c r="BI592" s="10"/>
      <c r="BJ592" s="338"/>
      <c r="BK592" s="338"/>
      <c r="BL592" s="303"/>
      <c r="BM592" s="5"/>
      <c r="BN592" s="10"/>
      <c r="BO592" s="8"/>
      <c r="BP592" s="5"/>
      <c r="BQ592" s="10"/>
      <c r="BR592" s="65"/>
      <c r="BS592" s="19"/>
      <c r="BT592" s="14"/>
      <c r="BU592" s="10"/>
      <c r="BV592" s="8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  <c r="DG592" s="10"/>
      <c r="DH592" s="10"/>
      <c r="DI592" s="10"/>
      <c r="DJ592" s="10"/>
      <c r="DK592" s="10"/>
      <c r="DL592" s="10"/>
      <c r="DM592" s="10"/>
      <c r="DN592" s="10"/>
      <c r="DO592" s="10"/>
      <c r="DP592" s="10"/>
      <c r="DQ592" s="10"/>
      <c r="DR592" s="10"/>
      <c r="DS592" s="10"/>
      <c r="DT592" s="10"/>
      <c r="DU592" s="10"/>
      <c r="DV592" s="5"/>
      <c r="DW592" s="10"/>
    </row>
    <row r="593" spans="1:131" customFormat="1">
      <c r="A593" s="194"/>
      <c r="B593" s="194"/>
      <c r="C593" s="8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30"/>
      <c r="T593" s="10"/>
      <c r="U593" s="10"/>
      <c r="V593" s="10"/>
      <c r="W593" s="10"/>
      <c r="X593" s="5"/>
      <c r="Y593" s="10"/>
      <c r="Z593" s="8"/>
      <c r="AA593" s="10"/>
      <c r="AB593" s="10"/>
      <c r="AC593" s="8"/>
      <c r="AD593" s="10"/>
      <c r="AE593" s="30"/>
      <c r="AF593" s="10"/>
      <c r="AG593" s="8"/>
      <c r="AH593" s="10"/>
      <c r="AI593" s="10"/>
      <c r="AJ593" s="5"/>
      <c r="AK593" s="10"/>
      <c r="AL593" s="8"/>
      <c r="AM593" s="10"/>
      <c r="AN593" s="30"/>
      <c r="AO593" s="10"/>
      <c r="AP593" s="10"/>
      <c r="AQ593" s="30"/>
      <c r="AR593" s="10"/>
      <c r="AS593" s="10"/>
      <c r="AT593" s="10"/>
      <c r="AU593" s="10"/>
      <c r="AV593" s="5"/>
      <c r="AW593" s="10"/>
      <c r="AX593" s="326"/>
      <c r="AY593" s="5"/>
      <c r="AZ593" s="10"/>
      <c r="BA593" s="8"/>
      <c r="BB593" s="10"/>
      <c r="BC593" s="10"/>
      <c r="BD593" s="10"/>
      <c r="BE593" s="10"/>
      <c r="BF593" s="10"/>
      <c r="BG593" s="10"/>
      <c r="BH593" s="30"/>
      <c r="BI593" s="10"/>
      <c r="BJ593" s="338"/>
      <c r="BK593" s="338"/>
      <c r="BL593" s="303"/>
      <c r="BM593" s="5"/>
      <c r="BN593" s="10"/>
      <c r="BO593" s="8"/>
      <c r="BP593" s="5"/>
      <c r="BQ593" s="10"/>
      <c r="BR593" s="65"/>
      <c r="BS593" s="19"/>
      <c r="BT593" s="14"/>
      <c r="BU593" s="10"/>
      <c r="BV593" s="8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  <c r="DF593" s="10"/>
      <c r="DG593" s="10"/>
      <c r="DH593" s="10"/>
      <c r="DI593" s="10"/>
      <c r="DJ593" s="10"/>
      <c r="DK593" s="10"/>
      <c r="DL593" s="10"/>
      <c r="DM593" s="10"/>
      <c r="DN593" s="10"/>
      <c r="DO593" s="10"/>
      <c r="DP593" s="10"/>
      <c r="DQ593" s="10"/>
      <c r="DR593" s="10"/>
      <c r="DS593" s="10"/>
      <c r="DT593" s="10"/>
      <c r="DU593" s="10"/>
      <c r="DV593" s="5"/>
      <c r="DW593" s="10"/>
    </row>
    <row r="594" spans="1:131" customFormat="1" ht="12" thickBot="1">
      <c r="A594" s="194"/>
      <c r="B594" s="194"/>
      <c r="C594" s="8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30"/>
      <c r="T594" s="10"/>
      <c r="U594" s="10"/>
      <c r="V594" s="10"/>
      <c r="W594" s="10"/>
      <c r="X594" s="5"/>
      <c r="Y594" s="10"/>
      <c r="Z594" s="8"/>
      <c r="AA594" s="10"/>
      <c r="AB594" s="10"/>
      <c r="AC594" s="8"/>
      <c r="AD594" s="10"/>
      <c r="AE594" s="30"/>
      <c r="AF594" s="10"/>
      <c r="AG594" s="8"/>
      <c r="AH594" s="10"/>
      <c r="AI594" s="10"/>
      <c r="AJ594" s="5"/>
      <c r="AK594" s="10"/>
      <c r="AL594" s="8"/>
      <c r="AM594" s="10"/>
      <c r="AN594" s="30"/>
      <c r="AO594" s="10"/>
      <c r="AP594" s="10"/>
      <c r="AQ594" s="30"/>
      <c r="AR594" s="10"/>
      <c r="AS594" s="10"/>
      <c r="AT594" s="10"/>
      <c r="AU594" s="10"/>
      <c r="AV594" s="5"/>
      <c r="AW594" s="10"/>
      <c r="AX594" s="326"/>
      <c r="AY594" s="5"/>
      <c r="AZ594" s="10"/>
      <c r="BA594" s="8"/>
      <c r="BB594" s="10"/>
      <c r="BC594" s="10"/>
      <c r="BD594" s="10"/>
      <c r="BE594" s="10"/>
      <c r="BF594" s="10"/>
      <c r="BG594" s="10"/>
      <c r="BH594" s="30"/>
      <c r="BI594" s="10"/>
      <c r="BJ594" s="338"/>
      <c r="BK594" s="338"/>
      <c r="BL594" s="303"/>
      <c r="BM594" s="5"/>
      <c r="BN594" s="10"/>
      <c r="BO594" s="8"/>
      <c r="BP594" s="5"/>
      <c r="BQ594" s="10"/>
      <c r="BR594" s="65"/>
      <c r="BS594" s="19"/>
      <c r="BT594" s="14"/>
      <c r="BU594" s="10"/>
      <c r="BV594" s="8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  <c r="DD594" s="10"/>
      <c r="DE594" s="10"/>
      <c r="DF594" s="10"/>
      <c r="DG594" s="10"/>
      <c r="DH594" s="10"/>
      <c r="DI594" s="10"/>
      <c r="DJ594" s="10"/>
      <c r="DK594" s="10"/>
      <c r="DL594" s="10"/>
      <c r="DM594" s="10"/>
      <c r="DN594" s="10"/>
      <c r="DO594" s="10"/>
      <c r="DP594" s="10"/>
      <c r="DQ594" s="10"/>
      <c r="DR594" s="10"/>
      <c r="DS594" s="10"/>
      <c r="DT594" s="10"/>
      <c r="DU594" s="10"/>
      <c r="DV594" s="5"/>
      <c r="DW594" s="10"/>
    </row>
    <row r="595" spans="1:131" customFormat="1">
      <c r="A595" s="208">
        <v>39264</v>
      </c>
      <c r="B595" s="209"/>
      <c r="C595" s="36">
        <v>5</v>
      </c>
      <c r="D595" s="9">
        <v>40</v>
      </c>
      <c r="E595" s="9">
        <v>4</v>
      </c>
      <c r="F595" s="9">
        <v>1</v>
      </c>
      <c r="G595" s="9">
        <v>1</v>
      </c>
      <c r="H595" s="9">
        <v>0</v>
      </c>
      <c r="I595" s="9">
        <v>0</v>
      </c>
      <c r="J595" s="9">
        <v>29</v>
      </c>
      <c r="K595" s="9">
        <v>2</v>
      </c>
      <c r="L595" s="9">
        <v>0</v>
      </c>
      <c r="M595" s="9">
        <v>0</v>
      </c>
      <c r="N595" s="9">
        <v>0</v>
      </c>
      <c r="O595" s="9">
        <v>1</v>
      </c>
      <c r="P595" s="9">
        <v>0</v>
      </c>
      <c r="Q595" s="9">
        <v>0</v>
      </c>
      <c r="R595" s="9">
        <v>0</v>
      </c>
      <c r="S595" s="33">
        <f>SUM(C595:R595)</f>
        <v>83</v>
      </c>
      <c r="T595" s="9"/>
      <c r="U595" s="9">
        <v>33</v>
      </c>
      <c r="V595" s="9">
        <v>32</v>
      </c>
      <c r="W595" s="9">
        <v>0</v>
      </c>
      <c r="X595" s="37">
        <v>1</v>
      </c>
      <c r="Y595" s="9"/>
      <c r="Z595" s="91">
        <v>3965440</v>
      </c>
      <c r="AA595" s="99"/>
      <c r="AB595" s="99"/>
      <c r="AC595" s="91">
        <v>967366</v>
      </c>
      <c r="AD595" s="9"/>
      <c r="AE595" s="33">
        <f t="shared" ref="AE595:AE618" si="284">SUM(AC595:AD595)</f>
        <v>967366</v>
      </c>
      <c r="AF595" s="9"/>
      <c r="AG595" s="91">
        <v>155</v>
      </c>
      <c r="AH595" s="92">
        <v>76</v>
      </c>
      <c r="AI595" s="92">
        <v>244</v>
      </c>
      <c r="AJ595" s="93"/>
      <c r="AK595" s="9"/>
      <c r="AL595" s="36">
        <v>0</v>
      </c>
      <c r="AM595" s="9">
        <v>41</v>
      </c>
      <c r="AN595" s="33">
        <f>SUM(AL595:AM595)</f>
        <v>41</v>
      </c>
      <c r="AO595" s="280"/>
      <c r="AP595" s="280"/>
      <c r="AQ595" s="282"/>
      <c r="AR595" s="92">
        <v>138</v>
      </c>
      <c r="AS595" s="92"/>
      <c r="AT595" s="92"/>
      <c r="AU595" s="92"/>
      <c r="AV595" s="93"/>
      <c r="AW595" s="9"/>
      <c r="AX595" s="325">
        <v>39263</v>
      </c>
      <c r="AY595" s="37">
        <v>-1</v>
      </c>
      <c r="AZ595" s="9"/>
      <c r="BA595" s="36">
        <v>1866</v>
      </c>
      <c r="BB595" s="9">
        <v>48466989</v>
      </c>
      <c r="BC595" s="92"/>
      <c r="BD595" s="92"/>
      <c r="BE595" s="92">
        <v>99</v>
      </c>
      <c r="BF595" s="92">
        <v>2</v>
      </c>
      <c r="BG595" s="92">
        <v>3</v>
      </c>
      <c r="BH595" s="352"/>
      <c r="BI595" s="9">
        <v>3606811</v>
      </c>
      <c r="BJ595" s="337">
        <v>39273</v>
      </c>
      <c r="BK595" s="337">
        <v>39279</v>
      </c>
      <c r="BL595" s="319">
        <f>BK595-BJ595</f>
        <v>6</v>
      </c>
      <c r="BM595" s="93"/>
      <c r="BN595" s="9"/>
      <c r="BO595" s="36"/>
      <c r="BP595" s="37">
        <v>162</v>
      </c>
      <c r="BQ595" s="9"/>
      <c r="BR595" s="74">
        <v>2008</v>
      </c>
      <c r="BS595" s="75">
        <v>2007</v>
      </c>
      <c r="BT595" s="13">
        <v>13</v>
      </c>
      <c r="BU595" s="9"/>
      <c r="BV595" s="36">
        <v>3</v>
      </c>
      <c r="BW595" s="9">
        <v>4</v>
      </c>
      <c r="BX595" s="9">
        <v>0</v>
      </c>
      <c r="BY595" s="9">
        <v>1</v>
      </c>
      <c r="BZ595" s="9">
        <v>0</v>
      </c>
      <c r="CA595" s="9">
        <v>0</v>
      </c>
      <c r="CB595" s="9">
        <v>0</v>
      </c>
      <c r="CC595" s="223"/>
      <c r="CD595" s="9">
        <v>2</v>
      </c>
      <c r="CE595" s="9">
        <v>1</v>
      </c>
      <c r="CF595" s="223">
        <v>0</v>
      </c>
      <c r="CG595" s="9">
        <v>2</v>
      </c>
      <c r="CH595" s="9">
        <v>0</v>
      </c>
      <c r="CI595" s="9">
        <v>13</v>
      </c>
      <c r="CJ595" s="9">
        <v>0</v>
      </c>
      <c r="CK595" s="9"/>
      <c r="CL595" s="9">
        <v>0</v>
      </c>
      <c r="CM595" s="9">
        <v>0</v>
      </c>
      <c r="CN595" s="9">
        <v>0</v>
      </c>
      <c r="CO595" s="9">
        <v>1</v>
      </c>
      <c r="CP595" s="220"/>
      <c r="CQ595" s="9">
        <v>0</v>
      </c>
      <c r="CR595" s="9"/>
      <c r="CS595" s="9">
        <v>13</v>
      </c>
      <c r="CT595" s="9">
        <v>4</v>
      </c>
      <c r="CU595" s="223">
        <v>0</v>
      </c>
      <c r="CV595" s="9">
        <v>4</v>
      </c>
      <c r="CW595" s="9">
        <v>0</v>
      </c>
      <c r="CX595" s="9">
        <v>0</v>
      </c>
      <c r="CY595" s="9">
        <v>0</v>
      </c>
      <c r="CZ595" s="9">
        <v>0</v>
      </c>
      <c r="DA595" s="9">
        <v>0</v>
      </c>
      <c r="DB595" s="9">
        <v>27</v>
      </c>
      <c r="DC595" s="9">
        <v>0</v>
      </c>
      <c r="DD595" s="9">
        <v>0</v>
      </c>
      <c r="DE595" s="9">
        <v>1</v>
      </c>
      <c r="DF595" s="9">
        <v>0</v>
      </c>
      <c r="DG595" s="9">
        <v>4</v>
      </c>
      <c r="DH595" s="9">
        <v>0</v>
      </c>
      <c r="DI595" s="9">
        <v>0</v>
      </c>
      <c r="DJ595" s="9">
        <v>0</v>
      </c>
      <c r="DK595" s="9">
        <v>0</v>
      </c>
      <c r="DL595" s="9">
        <v>0</v>
      </c>
      <c r="DM595" s="9">
        <v>0</v>
      </c>
      <c r="DN595" s="9">
        <v>0</v>
      </c>
      <c r="DO595" s="9">
        <v>0</v>
      </c>
      <c r="DP595" s="9">
        <v>0</v>
      </c>
      <c r="DQ595" s="9">
        <v>0</v>
      </c>
      <c r="DR595" s="9"/>
      <c r="DS595" s="9">
        <v>3</v>
      </c>
      <c r="DT595" s="9">
        <v>0</v>
      </c>
      <c r="DU595" s="9">
        <v>0</v>
      </c>
      <c r="DV595" s="44">
        <f>SUM(BV595:DU595)</f>
        <v>83</v>
      </c>
      <c r="DW595" s="13" t="str">
        <f t="shared" ref="DW595:DW618" si="285">IF(DV595=S595,"","PROB")</f>
        <v/>
      </c>
      <c r="DY595">
        <f>S595</f>
        <v>83</v>
      </c>
    </row>
    <row r="596" spans="1:131" customFormat="1">
      <c r="A596" s="210">
        <v>39278</v>
      </c>
      <c r="B596" s="211"/>
      <c r="C596" s="8">
        <v>1</v>
      </c>
      <c r="D596" s="10">
        <v>13</v>
      </c>
      <c r="E596" s="10">
        <v>0</v>
      </c>
      <c r="F596" s="59">
        <v>0</v>
      </c>
      <c r="G596" s="59">
        <v>0</v>
      </c>
      <c r="H596" s="59">
        <v>2</v>
      </c>
      <c r="I596" s="59">
        <v>0</v>
      </c>
      <c r="J596" s="59">
        <v>37</v>
      </c>
      <c r="K596" s="59">
        <v>0</v>
      </c>
      <c r="L596" s="59">
        <v>0</v>
      </c>
      <c r="M596" s="59">
        <v>0</v>
      </c>
      <c r="N596" s="59">
        <v>0</v>
      </c>
      <c r="O596" s="59">
        <v>5</v>
      </c>
      <c r="P596" s="59">
        <v>0</v>
      </c>
      <c r="Q596" s="59">
        <v>1</v>
      </c>
      <c r="R596" s="59">
        <v>1</v>
      </c>
      <c r="S596" s="35">
        <f>SUM(C596:R596)</f>
        <v>60</v>
      </c>
      <c r="T596" s="59"/>
      <c r="U596" s="59">
        <v>13</v>
      </c>
      <c r="V596" s="59">
        <v>11</v>
      </c>
      <c r="W596" s="59">
        <v>0</v>
      </c>
      <c r="X596" s="5">
        <v>0</v>
      </c>
      <c r="Y596" s="10"/>
      <c r="Z596" s="61">
        <v>3290624</v>
      </c>
      <c r="AA596" s="219"/>
      <c r="AB596" s="219"/>
      <c r="AC596" s="61">
        <v>524025</v>
      </c>
      <c r="AD596" s="59"/>
      <c r="AE596" s="35">
        <f t="shared" si="284"/>
        <v>524025</v>
      </c>
      <c r="AF596" s="10"/>
      <c r="AG596" s="61">
        <v>59</v>
      </c>
      <c r="AH596" s="59">
        <v>94</v>
      </c>
      <c r="AI596" s="59">
        <v>164</v>
      </c>
      <c r="AJ596" s="62"/>
      <c r="AK596" s="10"/>
      <c r="AL596" s="8"/>
      <c r="AM596" s="10"/>
      <c r="AN596" s="35"/>
      <c r="AO596" s="279"/>
      <c r="AP596" s="279"/>
      <c r="AQ596" s="281"/>
      <c r="AR596" s="59">
        <v>137</v>
      </c>
      <c r="AS596" s="59"/>
      <c r="AT596" s="59"/>
      <c r="AU596" s="59"/>
      <c r="AV596" s="62"/>
      <c r="AW596" s="10"/>
      <c r="AX596" s="326">
        <v>39275</v>
      </c>
      <c r="AY596" s="5">
        <v>-3</v>
      </c>
      <c r="AZ596" s="10"/>
      <c r="BA596" s="61"/>
      <c r="BB596" s="59"/>
      <c r="BC596" s="59"/>
      <c r="BD596" s="59"/>
      <c r="BE596" s="59"/>
      <c r="BF596" s="59"/>
      <c r="BG596" s="59"/>
      <c r="BH596" s="351"/>
      <c r="BI596" s="59"/>
      <c r="BJ596" s="342"/>
      <c r="BK596" s="335"/>
      <c r="BL596" s="320"/>
      <c r="BM596" s="62"/>
      <c r="BN596" s="10"/>
      <c r="BO596" s="8"/>
      <c r="BP596" s="62"/>
      <c r="BQ596" s="10"/>
      <c r="BR596" s="29">
        <v>2008</v>
      </c>
      <c r="BS596" s="64">
        <v>2007</v>
      </c>
      <c r="BT596" s="14">
        <v>14</v>
      </c>
      <c r="BU596" s="10"/>
      <c r="BV596" s="8">
        <v>2</v>
      </c>
      <c r="BW596" s="10">
        <v>0</v>
      </c>
      <c r="BX596" s="59">
        <v>1</v>
      </c>
      <c r="BY596" s="59">
        <v>0</v>
      </c>
      <c r="BZ596" s="59">
        <v>0</v>
      </c>
      <c r="CA596" s="59">
        <v>0</v>
      </c>
      <c r="CB596" s="59">
        <v>0</v>
      </c>
      <c r="CC596" s="221"/>
      <c r="CD596" s="59">
        <v>9</v>
      </c>
      <c r="CE596" s="59">
        <v>8</v>
      </c>
      <c r="CF596" s="221">
        <v>0</v>
      </c>
      <c r="CG596" s="59">
        <v>0</v>
      </c>
      <c r="CH596" s="59">
        <v>0</v>
      </c>
      <c r="CI596" s="59">
        <v>0</v>
      </c>
      <c r="CJ596" s="59">
        <v>2</v>
      </c>
      <c r="CK596" s="59"/>
      <c r="CL596" s="59">
        <v>0</v>
      </c>
      <c r="CM596" s="59">
        <v>0</v>
      </c>
      <c r="CN596" s="59">
        <v>0</v>
      </c>
      <c r="CO596" s="59">
        <v>2</v>
      </c>
      <c r="CP596" s="317"/>
      <c r="CQ596" s="59">
        <v>0</v>
      </c>
      <c r="CR596" s="59"/>
      <c r="CS596" s="59">
        <v>1</v>
      </c>
      <c r="CT596" s="59">
        <v>3</v>
      </c>
      <c r="CU596" s="221">
        <v>0</v>
      </c>
      <c r="CV596" s="59">
        <v>3</v>
      </c>
      <c r="CW596" s="59">
        <v>0</v>
      </c>
      <c r="CX596" s="59">
        <v>0</v>
      </c>
      <c r="CY596" s="59">
        <v>1</v>
      </c>
      <c r="CZ596" s="59">
        <v>0</v>
      </c>
      <c r="DA596" s="59">
        <v>0</v>
      </c>
      <c r="DB596" s="59">
        <v>3</v>
      </c>
      <c r="DC596" s="59">
        <v>0</v>
      </c>
      <c r="DD596" s="59">
        <v>0</v>
      </c>
      <c r="DE596" s="59">
        <v>0</v>
      </c>
      <c r="DF596" s="59">
        <v>0</v>
      </c>
      <c r="DG596" s="59">
        <v>0</v>
      </c>
      <c r="DH596" s="59">
        <v>3</v>
      </c>
      <c r="DI596" s="59">
        <v>3</v>
      </c>
      <c r="DJ596" s="59">
        <v>11</v>
      </c>
      <c r="DK596" s="59">
        <v>0</v>
      </c>
      <c r="DL596" s="59">
        <v>0</v>
      </c>
      <c r="DM596" s="59">
        <v>1</v>
      </c>
      <c r="DN596" s="59">
        <v>0</v>
      </c>
      <c r="DO596" s="59">
        <v>0</v>
      </c>
      <c r="DP596" s="59">
        <v>0</v>
      </c>
      <c r="DQ596" s="59">
        <v>0</v>
      </c>
      <c r="DR596" s="59"/>
      <c r="DS596" s="59">
        <v>6</v>
      </c>
      <c r="DT596" s="59">
        <v>0</v>
      </c>
      <c r="DU596" s="59">
        <v>1</v>
      </c>
      <c r="DV596" s="38">
        <f t="shared" ref="DV596:DV619" si="286">SUM(BV596:DU596)</f>
        <v>60</v>
      </c>
      <c r="DW596" s="14" t="str">
        <f t="shared" si="285"/>
        <v/>
      </c>
      <c r="DY596">
        <f>S596</f>
        <v>60</v>
      </c>
      <c r="EA596" s="355"/>
    </row>
    <row r="597" spans="1:131" customFormat="1">
      <c r="A597" s="210">
        <v>39295</v>
      </c>
      <c r="B597" s="211"/>
      <c r="C597" s="8">
        <v>1</v>
      </c>
      <c r="D597" s="10">
        <v>5</v>
      </c>
      <c r="E597" s="10">
        <v>1</v>
      </c>
      <c r="F597" s="59">
        <v>2</v>
      </c>
      <c r="G597" s="59">
        <v>2</v>
      </c>
      <c r="H597" s="59">
        <v>0</v>
      </c>
      <c r="I597" s="59">
        <v>0</v>
      </c>
      <c r="J597" s="59">
        <v>18</v>
      </c>
      <c r="K597" s="59">
        <v>0</v>
      </c>
      <c r="L597" s="59">
        <v>0</v>
      </c>
      <c r="M597" s="59">
        <v>0</v>
      </c>
      <c r="N597" s="59">
        <v>0</v>
      </c>
      <c r="O597" s="59">
        <v>5</v>
      </c>
      <c r="P597" s="59">
        <v>0</v>
      </c>
      <c r="Q597" s="59">
        <v>0</v>
      </c>
      <c r="R597" s="59">
        <v>0</v>
      </c>
      <c r="S597" s="35">
        <f>SUM(C597:R597)</f>
        <v>34</v>
      </c>
      <c r="T597" s="59"/>
      <c r="U597" s="59">
        <v>8</v>
      </c>
      <c r="V597" s="59">
        <v>6</v>
      </c>
      <c r="W597" s="59">
        <v>0</v>
      </c>
      <c r="X597" s="5">
        <v>0</v>
      </c>
      <c r="Y597" s="10"/>
      <c r="Z597" s="61">
        <v>3537920</v>
      </c>
      <c r="AA597" s="100"/>
      <c r="AB597" s="100"/>
      <c r="AC597" s="61">
        <v>418021</v>
      </c>
      <c r="AD597" s="59"/>
      <c r="AE597" s="35">
        <f t="shared" si="284"/>
        <v>418021</v>
      </c>
      <c r="AF597" s="10"/>
      <c r="AG597" s="61">
        <v>70</v>
      </c>
      <c r="AH597" s="59">
        <v>99</v>
      </c>
      <c r="AI597" s="59">
        <v>178</v>
      </c>
      <c r="AJ597" s="62"/>
      <c r="AK597" s="10"/>
      <c r="AL597" s="8"/>
      <c r="AM597" s="10"/>
      <c r="AN597" s="35"/>
      <c r="AO597" s="279"/>
      <c r="AP597" s="279"/>
      <c r="AQ597" s="281"/>
      <c r="AR597" s="59">
        <v>138</v>
      </c>
      <c r="AS597" s="59">
        <v>57</v>
      </c>
      <c r="AT597" s="59">
        <v>124</v>
      </c>
      <c r="AU597" s="59">
        <v>17</v>
      </c>
      <c r="AV597" s="62">
        <v>236</v>
      </c>
      <c r="AW597" s="10"/>
      <c r="AX597" s="326">
        <v>39290</v>
      </c>
      <c r="AY597" s="5">
        <v>-5</v>
      </c>
      <c r="AZ597" s="10"/>
      <c r="BA597" s="61">
        <v>1866</v>
      </c>
      <c r="BB597" s="59">
        <v>48767717</v>
      </c>
      <c r="BC597" s="59"/>
      <c r="BD597" s="59"/>
      <c r="BE597" s="59">
        <v>98</v>
      </c>
      <c r="BF597" s="59">
        <v>4</v>
      </c>
      <c r="BG597" s="59">
        <v>4</v>
      </c>
      <c r="BH597" s="351"/>
      <c r="BI597" s="59">
        <v>4138088</v>
      </c>
      <c r="BJ597" s="342">
        <v>39304</v>
      </c>
      <c r="BK597" s="342">
        <v>39308</v>
      </c>
      <c r="BL597" s="320">
        <f>BK597-BJ597</f>
        <v>4</v>
      </c>
      <c r="BM597" s="62"/>
      <c r="BN597" s="10"/>
      <c r="BO597" s="8"/>
      <c r="BP597" s="62">
        <v>164</v>
      </c>
      <c r="BQ597" s="10"/>
      <c r="BR597" s="29">
        <v>2008</v>
      </c>
      <c r="BS597" s="64">
        <v>2007</v>
      </c>
      <c r="BT597" s="14">
        <v>15</v>
      </c>
      <c r="BU597" s="10"/>
      <c r="BV597" s="8">
        <v>0</v>
      </c>
      <c r="BW597" s="10">
        <v>0</v>
      </c>
      <c r="BX597" s="59">
        <v>3</v>
      </c>
      <c r="BY597" s="59">
        <v>0</v>
      </c>
      <c r="BZ597" s="59">
        <v>0</v>
      </c>
      <c r="CA597" s="59">
        <v>0</v>
      </c>
      <c r="CB597" s="59">
        <v>0</v>
      </c>
      <c r="CC597" s="221"/>
      <c r="CD597" s="59">
        <v>3</v>
      </c>
      <c r="CE597" s="59">
        <v>0</v>
      </c>
      <c r="CF597" s="221">
        <v>0</v>
      </c>
      <c r="CG597" s="59">
        <v>0</v>
      </c>
      <c r="CH597" s="59">
        <v>0</v>
      </c>
      <c r="CI597" s="59">
        <v>1</v>
      </c>
      <c r="CJ597" s="59">
        <v>13</v>
      </c>
      <c r="CK597" s="59"/>
      <c r="CL597" s="59">
        <v>0</v>
      </c>
      <c r="CM597" s="59">
        <v>0</v>
      </c>
      <c r="CN597" s="59">
        <v>0</v>
      </c>
      <c r="CO597" s="59">
        <v>4</v>
      </c>
      <c r="CP597" s="317"/>
      <c r="CQ597" s="59">
        <v>0</v>
      </c>
      <c r="CR597" s="59"/>
      <c r="CS597" s="59">
        <v>1</v>
      </c>
      <c r="CT597" s="59">
        <v>3</v>
      </c>
      <c r="CU597" s="221">
        <v>0</v>
      </c>
      <c r="CV597" s="59">
        <v>0</v>
      </c>
      <c r="CW597" s="59">
        <v>0</v>
      </c>
      <c r="CX597" s="59">
        <v>0</v>
      </c>
      <c r="CY597" s="59">
        <v>1</v>
      </c>
      <c r="CZ597" s="59">
        <v>0</v>
      </c>
      <c r="DA597" s="59">
        <v>1</v>
      </c>
      <c r="DB597" s="59">
        <v>3</v>
      </c>
      <c r="DC597" s="59">
        <v>0</v>
      </c>
      <c r="DD597" s="59">
        <v>0</v>
      </c>
      <c r="DE597" s="59">
        <v>0</v>
      </c>
      <c r="DF597" s="59">
        <v>0</v>
      </c>
      <c r="DG597" s="59">
        <v>1</v>
      </c>
      <c r="DH597" s="59">
        <v>0</v>
      </c>
      <c r="DI597" s="59">
        <v>0</v>
      </c>
      <c r="DJ597" s="59">
        <v>0</v>
      </c>
      <c r="DK597" s="59">
        <v>0</v>
      </c>
      <c r="DL597" s="59">
        <v>0</v>
      </c>
      <c r="DM597" s="59">
        <v>0</v>
      </c>
      <c r="DN597" s="59">
        <v>0</v>
      </c>
      <c r="DO597" s="59">
        <v>0</v>
      </c>
      <c r="DP597" s="59">
        <v>0</v>
      </c>
      <c r="DQ597" s="59">
        <v>0</v>
      </c>
      <c r="DR597" s="59"/>
      <c r="DS597" s="59">
        <v>0</v>
      </c>
      <c r="DT597" s="59">
        <v>0</v>
      </c>
      <c r="DU597" s="59">
        <v>0</v>
      </c>
      <c r="DV597" s="38">
        <f t="shared" si="286"/>
        <v>34</v>
      </c>
      <c r="DW597" s="14" t="str">
        <f t="shared" si="285"/>
        <v/>
      </c>
      <c r="DY597">
        <f>S597</f>
        <v>34</v>
      </c>
    </row>
    <row r="598" spans="1:131" customFormat="1">
      <c r="A598" s="210">
        <v>39309</v>
      </c>
      <c r="B598" s="211"/>
      <c r="C598" s="61">
        <v>1</v>
      </c>
      <c r="D598" s="59">
        <v>17</v>
      </c>
      <c r="E598" s="59">
        <v>1</v>
      </c>
      <c r="F598" s="59">
        <v>0</v>
      </c>
      <c r="G598" s="59">
        <v>3</v>
      </c>
      <c r="H598" s="59">
        <v>0</v>
      </c>
      <c r="I598" s="59">
        <v>0</v>
      </c>
      <c r="J598" s="59">
        <v>55</v>
      </c>
      <c r="K598" s="59">
        <v>2</v>
      </c>
      <c r="L598" s="59">
        <v>0</v>
      </c>
      <c r="M598" s="59">
        <v>0</v>
      </c>
      <c r="N598" s="59">
        <v>0</v>
      </c>
      <c r="O598" s="59">
        <v>5</v>
      </c>
      <c r="P598" s="59">
        <v>2</v>
      </c>
      <c r="Q598" s="59">
        <v>0</v>
      </c>
      <c r="R598" s="59">
        <v>0</v>
      </c>
      <c r="S598" s="35">
        <f>SUM(C598:R598)</f>
        <v>86</v>
      </c>
      <c r="T598" s="59"/>
      <c r="U598" s="59">
        <v>22</v>
      </c>
      <c r="V598" s="59">
        <v>14</v>
      </c>
      <c r="W598" s="59">
        <v>0</v>
      </c>
      <c r="X598" s="62">
        <v>0</v>
      </c>
      <c r="Y598" s="59"/>
      <c r="Z598" s="61">
        <v>3918848</v>
      </c>
      <c r="AA598" s="101"/>
      <c r="AB598" s="101"/>
      <c r="AC598" s="61">
        <v>432413</v>
      </c>
      <c r="AD598" s="59"/>
      <c r="AE598" s="35">
        <f t="shared" si="284"/>
        <v>432413</v>
      </c>
      <c r="AF598" s="10"/>
      <c r="AG598" s="61">
        <v>80</v>
      </c>
      <c r="AH598" s="59">
        <v>107</v>
      </c>
      <c r="AI598" s="59">
        <v>204</v>
      </c>
      <c r="AJ598" s="62"/>
      <c r="AK598" s="10"/>
      <c r="AL598" s="8"/>
      <c r="AM598" s="10"/>
      <c r="AN598" s="35"/>
      <c r="AO598" s="279"/>
      <c r="AP598" s="279"/>
      <c r="AQ598" s="281"/>
      <c r="AR598" s="59">
        <v>138</v>
      </c>
      <c r="AS598" s="59">
        <v>57</v>
      </c>
      <c r="AT598" s="59">
        <v>123</v>
      </c>
      <c r="AU598" s="59">
        <v>17</v>
      </c>
      <c r="AV598" s="62">
        <v>235</v>
      </c>
      <c r="AW598" s="10"/>
      <c r="AX598" s="326">
        <v>39308</v>
      </c>
      <c r="AY598" s="5">
        <v>-1</v>
      </c>
      <c r="AZ598" s="10"/>
      <c r="BA598" s="61"/>
      <c r="BB598" s="59"/>
      <c r="BC598" s="59"/>
      <c r="BD598" s="59"/>
      <c r="BE598" s="59"/>
      <c r="BF598" s="59"/>
      <c r="BG598" s="59"/>
      <c r="BH598" s="351"/>
      <c r="BI598" s="59"/>
      <c r="BJ598" s="342"/>
      <c r="BK598" s="335"/>
      <c r="BL598" s="320"/>
      <c r="BM598" s="62"/>
      <c r="BN598" s="10"/>
      <c r="BO598" s="8"/>
      <c r="BP598" s="62"/>
      <c r="BQ598" s="10"/>
      <c r="BR598" s="29">
        <v>2008</v>
      </c>
      <c r="BS598" s="64">
        <v>2007</v>
      </c>
      <c r="BT598" s="14">
        <v>16</v>
      </c>
      <c r="BU598" s="10"/>
      <c r="BV598" s="8">
        <v>1</v>
      </c>
      <c r="BW598" s="59">
        <v>0</v>
      </c>
      <c r="BX598" s="59">
        <v>0</v>
      </c>
      <c r="BY598" s="59">
        <v>0</v>
      </c>
      <c r="BZ598" s="59">
        <v>0</v>
      </c>
      <c r="CA598" s="59">
        <v>0</v>
      </c>
      <c r="CB598" s="59">
        <v>0</v>
      </c>
      <c r="CC598" s="221"/>
      <c r="CD598" s="59">
        <v>21</v>
      </c>
      <c r="CE598" s="59">
        <v>2</v>
      </c>
      <c r="CF598" s="221">
        <v>0</v>
      </c>
      <c r="CG598" s="59">
        <v>0</v>
      </c>
      <c r="CH598" s="59">
        <v>0</v>
      </c>
      <c r="CI598" s="59">
        <v>0</v>
      </c>
      <c r="CJ598" s="59">
        <v>1</v>
      </c>
      <c r="CK598" s="59"/>
      <c r="CL598" s="59">
        <v>0</v>
      </c>
      <c r="CM598" s="59">
        <v>6</v>
      </c>
      <c r="CN598" s="59">
        <v>2</v>
      </c>
      <c r="CO598" s="59">
        <v>6</v>
      </c>
      <c r="CP598" s="317"/>
      <c r="CQ598" s="59">
        <v>0</v>
      </c>
      <c r="CR598" s="59"/>
      <c r="CS598" s="59">
        <v>1</v>
      </c>
      <c r="CT598" s="59">
        <v>0</v>
      </c>
      <c r="CU598" s="221">
        <v>0</v>
      </c>
      <c r="CV598" s="59">
        <v>9</v>
      </c>
      <c r="CW598" s="59">
        <v>0</v>
      </c>
      <c r="CX598" s="59">
        <v>0</v>
      </c>
      <c r="CY598" s="59">
        <v>0</v>
      </c>
      <c r="CZ598" s="59">
        <v>0</v>
      </c>
      <c r="DA598" s="59">
        <v>0</v>
      </c>
      <c r="DB598" s="59">
        <v>3</v>
      </c>
      <c r="DC598" s="59">
        <v>27</v>
      </c>
      <c r="DD598" s="59">
        <v>0</v>
      </c>
      <c r="DE598" s="59">
        <v>0</v>
      </c>
      <c r="DF598" s="59">
        <v>0</v>
      </c>
      <c r="DG598" s="59">
        <v>3</v>
      </c>
      <c r="DH598" s="59">
        <v>0</v>
      </c>
      <c r="DI598" s="59">
        <v>0</v>
      </c>
      <c r="DJ598" s="59">
        <v>0</v>
      </c>
      <c r="DK598" s="59">
        <v>0</v>
      </c>
      <c r="DL598" s="59">
        <v>0</v>
      </c>
      <c r="DM598" s="59">
        <v>3</v>
      </c>
      <c r="DN598" s="59">
        <v>0</v>
      </c>
      <c r="DO598" s="59">
        <v>0</v>
      </c>
      <c r="DP598" s="59">
        <v>0</v>
      </c>
      <c r="DQ598" s="59">
        <v>0</v>
      </c>
      <c r="DR598" s="59"/>
      <c r="DS598" s="59">
        <v>1</v>
      </c>
      <c r="DT598" s="59">
        <v>0</v>
      </c>
      <c r="DU598" s="59">
        <v>0</v>
      </c>
      <c r="DV598" s="38">
        <f t="shared" si="286"/>
        <v>86</v>
      </c>
      <c r="DW598" s="14" t="str">
        <f t="shared" si="285"/>
        <v/>
      </c>
      <c r="DY598">
        <f>S598</f>
        <v>86</v>
      </c>
    </row>
    <row r="599" spans="1:131" customFormat="1">
      <c r="A599" s="210">
        <v>39326</v>
      </c>
      <c r="B599" s="211"/>
      <c r="C599" s="61">
        <v>0</v>
      </c>
      <c r="D599" s="59">
        <v>16</v>
      </c>
      <c r="E599" s="59">
        <v>2</v>
      </c>
      <c r="F599" s="59">
        <v>1</v>
      </c>
      <c r="G599" s="59">
        <v>0</v>
      </c>
      <c r="H599" s="59">
        <v>0</v>
      </c>
      <c r="I599" s="59">
        <v>0</v>
      </c>
      <c r="J599" s="59">
        <v>25</v>
      </c>
      <c r="K599" s="59">
        <v>0</v>
      </c>
      <c r="L599" s="59">
        <v>0</v>
      </c>
      <c r="M599" s="59">
        <v>0</v>
      </c>
      <c r="N599" s="59">
        <v>0</v>
      </c>
      <c r="O599" s="59">
        <v>8</v>
      </c>
      <c r="P599" s="59">
        <v>0</v>
      </c>
      <c r="Q599" s="59">
        <v>0</v>
      </c>
      <c r="R599" s="59">
        <v>1</v>
      </c>
      <c r="S599" s="35">
        <f>SUM(C599:R599)</f>
        <v>53</v>
      </c>
      <c r="T599" s="59"/>
      <c r="U599" s="59">
        <v>31</v>
      </c>
      <c r="V599" s="59">
        <v>22</v>
      </c>
      <c r="W599" s="59">
        <v>0</v>
      </c>
      <c r="X599" s="62">
        <v>0</v>
      </c>
      <c r="Y599" s="59"/>
      <c r="Z599" s="61">
        <v>3972096</v>
      </c>
      <c r="AA599" s="101"/>
      <c r="AB599" s="101"/>
      <c r="AC599" s="61">
        <v>486245</v>
      </c>
      <c r="AD599" s="59"/>
      <c r="AE599" s="35">
        <f t="shared" si="284"/>
        <v>486245</v>
      </c>
      <c r="AF599" s="10"/>
      <c r="AG599" s="61">
        <v>61</v>
      </c>
      <c r="AH599" s="59">
        <v>114</v>
      </c>
      <c r="AI599" s="59">
        <v>192</v>
      </c>
      <c r="AJ599" s="62"/>
      <c r="AK599" s="10"/>
      <c r="AL599" s="8"/>
      <c r="AM599" s="10"/>
      <c r="AN599" s="35"/>
      <c r="AO599" s="279"/>
      <c r="AP599" s="279"/>
      <c r="AQ599" s="281"/>
      <c r="AR599" s="59">
        <v>139</v>
      </c>
      <c r="AS599" s="59">
        <v>59</v>
      </c>
      <c r="AT599" s="59">
        <v>125</v>
      </c>
      <c r="AU599" s="59">
        <v>17</v>
      </c>
      <c r="AV599" s="62">
        <v>239</v>
      </c>
      <c r="AW599" s="10"/>
      <c r="AX599" s="326">
        <v>39324</v>
      </c>
      <c r="AY599" s="5">
        <v>-2</v>
      </c>
      <c r="AZ599" s="10"/>
      <c r="BA599" s="61">
        <v>1870</v>
      </c>
      <c r="BB599" s="59">
        <v>49732703</v>
      </c>
      <c r="BC599" s="59"/>
      <c r="BD599" s="59"/>
      <c r="BE599" s="59">
        <v>110</v>
      </c>
      <c r="BF599" s="59">
        <v>8</v>
      </c>
      <c r="BG599" s="59">
        <v>4</v>
      </c>
      <c r="BH599" s="351"/>
      <c r="BI599" s="59">
        <v>4433656</v>
      </c>
      <c r="BJ599" s="342">
        <v>39335</v>
      </c>
      <c r="BK599" s="342">
        <v>39345</v>
      </c>
      <c r="BL599" s="320">
        <f>BK599-BJ599</f>
        <v>10</v>
      </c>
      <c r="BM599" s="62"/>
      <c r="BN599" s="59"/>
      <c r="BO599" s="61"/>
      <c r="BP599" s="62">
        <v>164</v>
      </c>
      <c r="BQ599" s="10"/>
      <c r="BR599" s="29">
        <v>2008</v>
      </c>
      <c r="BS599" s="64">
        <v>2007</v>
      </c>
      <c r="BT599" s="14">
        <v>17</v>
      </c>
      <c r="BU599" s="10"/>
      <c r="BV599" s="8">
        <v>0</v>
      </c>
      <c r="BW599" s="59">
        <v>0</v>
      </c>
      <c r="BX599" s="59">
        <v>0</v>
      </c>
      <c r="BY599" s="59">
        <v>0</v>
      </c>
      <c r="BZ599" s="59">
        <v>0</v>
      </c>
      <c r="CA599" s="59">
        <v>0</v>
      </c>
      <c r="CB599" s="59">
        <v>0</v>
      </c>
      <c r="CC599" s="221"/>
      <c r="CD599" s="59">
        <v>0</v>
      </c>
      <c r="CE599" s="59">
        <v>2</v>
      </c>
      <c r="CF599" s="221">
        <v>0</v>
      </c>
      <c r="CG599" s="59">
        <v>0</v>
      </c>
      <c r="CH599" s="59">
        <v>0</v>
      </c>
      <c r="CI599" s="59">
        <v>5</v>
      </c>
      <c r="CJ599" s="59">
        <v>4</v>
      </c>
      <c r="CK599" s="59"/>
      <c r="CL599" s="59">
        <v>0</v>
      </c>
      <c r="CM599" s="59">
        <v>0</v>
      </c>
      <c r="CN599" s="59">
        <v>0</v>
      </c>
      <c r="CO599" s="59">
        <v>7</v>
      </c>
      <c r="CP599" s="317"/>
      <c r="CQ599" s="59">
        <v>0</v>
      </c>
      <c r="CR599" s="59"/>
      <c r="CS599" s="59">
        <v>0</v>
      </c>
      <c r="CT599" s="59">
        <v>6</v>
      </c>
      <c r="CU599" s="221">
        <v>0</v>
      </c>
      <c r="CV599" s="59">
        <v>1</v>
      </c>
      <c r="CW599" s="59">
        <v>0</v>
      </c>
      <c r="CX599" s="59">
        <v>0</v>
      </c>
      <c r="CY599" s="59">
        <v>7</v>
      </c>
      <c r="CZ599" s="59">
        <v>0</v>
      </c>
      <c r="DA599" s="59">
        <v>0</v>
      </c>
      <c r="DB599" s="59">
        <v>1</v>
      </c>
      <c r="DC599" s="59">
        <v>3</v>
      </c>
      <c r="DD599" s="59">
        <v>0</v>
      </c>
      <c r="DE599" s="59">
        <v>0</v>
      </c>
      <c r="DF599" s="59">
        <v>0</v>
      </c>
      <c r="DG599" s="59">
        <v>1</v>
      </c>
      <c r="DH599" s="59">
        <v>0</v>
      </c>
      <c r="DI599" s="59">
        <v>0</v>
      </c>
      <c r="DJ599" s="59">
        <v>3</v>
      </c>
      <c r="DK599" s="59">
        <v>0</v>
      </c>
      <c r="DL599" s="59">
        <v>0</v>
      </c>
      <c r="DM599" s="59">
        <v>3</v>
      </c>
      <c r="DN599" s="59">
        <v>0</v>
      </c>
      <c r="DO599" s="59">
        <v>8</v>
      </c>
      <c r="DP599" s="59">
        <v>0</v>
      </c>
      <c r="DQ599" s="59">
        <v>0</v>
      </c>
      <c r="DR599" s="59"/>
      <c r="DS599" s="59">
        <v>1</v>
      </c>
      <c r="DT599" s="59">
        <v>0</v>
      </c>
      <c r="DU599" s="59">
        <v>1</v>
      </c>
      <c r="DV599" s="38">
        <f t="shared" si="286"/>
        <v>53</v>
      </c>
      <c r="DW599" s="14" t="str">
        <f t="shared" si="285"/>
        <v/>
      </c>
      <c r="DY599">
        <f>S599</f>
        <v>53</v>
      </c>
      <c r="EA599" s="355"/>
    </row>
    <row r="600" spans="1:131" customFormat="1">
      <c r="A600" s="210">
        <v>39340</v>
      </c>
      <c r="B600" s="211"/>
      <c r="C600" s="61">
        <v>0</v>
      </c>
      <c r="D600" s="59">
        <v>22</v>
      </c>
      <c r="E600" s="59">
        <v>1</v>
      </c>
      <c r="F600" s="59">
        <v>0</v>
      </c>
      <c r="G600" s="59">
        <v>0</v>
      </c>
      <c r="H600" s="59">
        <v>1</v>
      </c>
      <c r="I600" s="59">
        <v>0</v>
      </c>
      <c r="J600" s="59">
        <v>24</v>
      </c>
      <c r="K600" s="59">
        <v>0</v>
      </c>
      <c r="L600" s="59">
        <v>0</v>
      </c>
      <c r="M600" s="59">
        <v>0</v>
      </c>
      <c r="N600" s="59">
        <v>0</v>
      </c>
      <c r="O600" s="59">
        <v>4</v>
      </c>
      <c r="P600" s="59">
        <v>1</v>
      </c>
      <c r="Q600" s="59">
        <v>0</v>
      </c>
      <c r="R600" s="59">
        <v>0</v>
      </c>
      <c r="S600" s="35">
        <f t="shared" ref="S600:S614" si="287">SUM(C600:R600)</f>
        <v>53</v>
      </c>
      <c r="T600" s="59"/>
      <c r="U600" s="59">
        <v>27</v>
      </c>
      <c r="V600" s="59">
        <v>22</v>
      </c>
      <c r="W600" s="59">
        <v>0</v>
      </c>
      <c r="X600" s="62">
        <v>0</v>
      </c>
      <c r="Y600" s="59"/>
      <c r="Z600" s="61">
        <v>4288512</v>
      </c>
      <c r="AA600" s="101"/>
      <c r="AB600" s="101"/>
      <c r="AC600" s="61">
        <v>843607</v>
      </c>
      <c r="AD600" s="59"/>
      <c r="AE600" s="35">
        <f t="shared" si="284"/>
        <v>843607</v>
      </c>
      <c r="AF600" s="10"/>
      <c r="AG600" s="61">
        <v>77</v>
      </c>
      <c r="AH600" s="59">
        <v>121</v>
      </c>
      <c r="AI600" s="59">
        <v>212</v>
      </c>
      <c r="AJ600" s="62"/>
      <c r="AK600" s="10"/>
      <c r="AL600" s="8"/>
      <c r="AM600" s="10"/>
      <c r="AN600" s="35"/>
      <c r="AO600" s="279"/>
      <c r="AP600" s="279"/>
      <c r="AQ600" s="281"/>
      <c r="AR600" s="59">
        <v>139</v>
      </c>
      <c r="AS600" s="59">
        <v>59</v>
      </c>
      <c r="AT600" s="59">
        <v>126</v>
      </c>
      <c r="AU600" s="59">
        <v>17</v>
      </c>
      <c r="AV600" s="62">
        <v>240</v>
      </c>
      <c r="AW600" s="10"/>
      <c r="AX600" s="326">
        <v>39339</v>
      </c>
      <c r="AY600" s="5">
        <v>-1</v>
      </c>
      <c r="AZ600" s="10"/>
      <c r="BA600" s="61"/>
      <c r="BB600" s="59"/>
      <c r="BC600" s="59"/>
      <c r="BD600" s="59"/>
      <c r="BE600" s="59"/>
      <c r="BF600" s="59"/>
      <c r="BG600" s="59"/>
      <c r="BH600" s="351"/>
      <c r="BI600" s="59"/>
      <c r="BJ600" s="342"/>
      <c r="BK600" s="335"/>
      <c r="BL600" s="320"/>
      <c r="BM600" s="62"/>
      <c r="BN600" s="10"/>
      <c r="BO600" s="8"/>
      <c r="BP600" s="62"/>
      <c r="BQ600" s="10"/>
      <c r="BR600" s="29">
        <v>2008</v>
      </c>
      <c r="BS600" s="64">
        <v>2007</v>
      </c>
      <c r="BT600" s="14">
        <v>18</v>
      </c>
      <c r="BU600" s="10"/>
      <c r="BV600" s="8">
        <v>3</v>
      </c>
      <c r="BW600" s="59">
        <v>0</v>
      </c>
      <c r="BX600" s="59">
        <v>0</v>
      </c>
      <c r="BY600" s="59">
        <v>0</v>
      </c>
      <c r="BZ600" s="59">
        <v>0</v>
      </c>
      <c r="CA600" s="59">
        <v>0</v>
      </c>
      <c r="CB600" s="59">
        <v>0</v>
      </c>
      <c r="CC600" s="221"/>
      <c r="CD600" s="59">
        <v>4</v>
      </c>
      <c r="CE600" s="59">
        <v>0</v>
      </c>
      <c r="CF600" s="221">
        <v>0</v>
      </c>
      <c r="CG600" s="59">
        <v>0</v>
      </c>
      <c r="CH600" s="59">
        <v>0</v>
      </c>
      <c r="CI600" s="59">
        <v>0</v>
      </c>
      <c r="CJ600" s="59">
        <v>5</v>
      </c>
      <c r="CK600" s="59"/>
      <c r="CL600" s="59">
        <v>0</v>
      </c>
      <c r="CM600" s="59">
        <v>0</v>
      </c>
      <c r="CN600" s="59">
        <v>1</v>
      </c>
      <c r="CO600" s="59">
        <v>9</v>
      </c>
      <c r="CP600" s="317"/>
      <c r="CQ600" s="59">
        <v>0</v>
      </c>
      <c r="CR600" s="59"/>
      <c r="CS600" s="59">
        <v>0</v>
      </c>
      <c r="CT600" s="59">
        <v>19</v>
      </c>
      <c r="CU600" s="221">
        <v>0</v>
      </c>
      <c r="CV600" s="59">
        <v>0</v>
      </c>
      <c r="CW600" s="59">
        <v>0</v>
      </c>
      <c r="CX600" s="59">
        <v>0</v>
      </c>
      <c r="CY600" s="59">
        <v>0</v>
      </c>
      <c r="CZ600" s="59">
        <v>0</v>
      </c>
      <c r="DA600" s="59">
        <v>0</v>
      </c>
      <c r="DB600" s="59">
        <v>4</v>
      </c>
      <c r="DC600" s="59">
        <v>4</v>
      </c>
      <c r="DD600" s="59">
        <v>0</v>
      </c>
      <c r="DE600" s="59">
        <v>0</v>
      </c>
      <c r="DF600" s="59">
        <v>1</v>
      </c>
      <c r="DG600" s="59">
        <v>2</v>
      </c>
      <c r="DH600" s="59">
        <v>0</v>
      </c>
      <c r="DI600" s="59">
        <v>0</v>
      </c>
      <c r="DJ600" s="59">
        <v>0</v>
      </c>
      <c r="DK600" s="59">
        <v>0</v>
      </c>
      <c r="DL600" s="59">
        <v>0</v>
      </c>
      <c r="DM600" s="59">
        <v>1</v>
      </c>
      <c r="DN600" s="59">
        <v>0</v>
      </c>
      <c r="DO600" s="59">
        <v>0</v>
      </c>
      <c r="DP600" s="59">
        <v>0</v>
      </c>
      <c r="DQ600" s="59">
        <v>0</v>
      </c>
      <c r="DR600" s="59"/>
      <c r="DS600" s="59">
        <v>0</v>
      </c>
      <c r="DT600" s="59">
        <v>0</v>
      </c>
      <c r="DU600" s="59">
        <v>0</v>
      </c>
      <c r="DV600" s="38">
        <f t="shared" si="286"/>
        <v>53</v>
      </c>
      <c r="DW600" s="14" t="str">
        <f t="shared" si="285"/>
        <v/>
      </c>
      <c r="DY600">
        <f t="shared" ref="DY600:DY618" si="288">S600</f>
        <v>53</v>
      </c>
    </row>
    <row r="601" spans="1:131" customFormat="1">
      <c r="A601" s="210">
        <v>39356</v>
      </c>
      <c r="B601" s="211"/>
      <c r="C601" s="61">
        <v>6</v>
      </c>
      <c r="D601" s="59">
        <v>15</v>
      </c>
      <c r="E601" s="59">
        <v>1</v>
      </c>
      <c r="F601" s="59">
        <v>0</v>
      </c>
      <c r="G601" s="59">
        <v>0</v>
      </c>
      <c r="H601" s="59">
        <v>1</v>
      </c>
      <c r="I601" s="59">
        <v>0</v>
      </c>
      <c r="J601" s="59">
        <v>43</v>
      </c>
      <c r="K601" s="59">
        <v>1</v>
      </c>
      <c r="L601" s="59">
        <v>0</v>
      </c>
      <c r="M601" s="59">
        <v>0</v>
      </c>
      <c r="N601" s="59">
        <v>0</v>
      </c>
      <c r="O601" s="59">
        <v>0</v>
      </c>
      <c r="P601" s="59">
        <v>1</v>
      </c>
      <c r="Q601" s="59">
        <v>0</v>
      </c>
      <c r="R601" s="59">
        <v>0</v>
      </c>
      <c r="S601" s="35">
        <f t="shared" si="287"/>
        <v>68</v>
      </c>
      <c r="T601" s="59"/>
      <c r="U601" s="59">
        <v>16</v>
      </c>
      <c r="V601" s="59">
        <v>14</v>
      </c>
      <c r="W601" s="59">
        <v>0</v>
      </c>
      <c r="X601" s="5">
        <v>0</v>
      </c>
      <c r="Y601" s="10"/>
      <c r="Z601" s="61">
        <v>4234752</v>
      </c>
      <c r="AA601" s="101"/>
      <c r="AB601" s="101"/>
      <c r="AC601" s="61">
        <v>255770</v>
      </c>
      <c r="AD601" s="59"/>
      <c r="AE601" s="35">
        <f t="shared" si="284"/>
        <v>255770</v>
      </c>
      <c r="AF601" s="10"/>
      <c r="AG601" s="61">
        <v>70</v>
      </c>
      <c r="AH601" s="59">
        <v>124</v>
      </c>
      <c r="AI601" s="59">
        <v>198</v>
      </c>
      <c r="AJ601" s="62"/>
      <c r="AK601" s="10"/>
      <c r="AL601" s="61">
        <v>0</v>
      </c>
      <c r="AM601" s="59">
        <v>44</v>
      </c>
      <c r="AN601" s="35">
        <f>SUM(AL601:AM601)</f>
        <v>44</v>
      </c>
      <c r="AO601" s="279"/>
      <c r="AP601" s="279"/>
      <c r="AQ601" s="281"/>
      <c r="AR601" s="59">
        <v>140</v>
      </c>
      <c r="AS601" s="59">
        <v>1</v>
      </c>
      <c r="AT601" s="59">
        <v>124</v>
      </c>
      <c r="AU601" s="59">
        <v>17</v>
      </c>
      <c r="AV601" s="62">
        <v>180</v>
      </c>
      <c r="AW601" s="10"/>
      <c r="AX601" s="326">
        <v>39352</v>
      </c>
      <c r="AY601" s="5">
        <v>-4</v>
      </c>
      <c r="AZ601" s="10"/>
      <c r="BA601" s="61">
        <v>1867</v>
      </c>
      <c r="BB601" s="59">
        <v>49721487</v>
      </c>
      <c r="BC601" s="59"/>
      <c r="BD601" s="59"/>
      <c r="BE601" s="59">
        <v>91</v>
      </c>
      <c r="BF601" s="59">
        <v>0</v>
      </c>
      <c r="BG601" s="59">
        <v>1</v>
      </c>
      <c r="BH601" s="351"/>
      <c r="BI601" s="59">
        <v>2192433</v>
      </c>
      <c r="BJ601" s="342">
        <v>39365</v>
      </c>
      <c r="BK601" s="342">
        <v>39365</v>
      </c>
      <c r="BL601" s="320">
        <f>BK601-BJ601</f>
        <v>0</v>
      </c>
      <c r="BM601" s="62"/>
      <c r="BN601" s="10"/>
      <c r="BO601" s="8"/>
      <c r="BP601" s="62">
        <v>162</v>
      </c>
      <c r="BQ601" s="10"/>
      <c r="BR601" s="29">
        <v>2008</v>
      </c>
      <c r="BS601" s="64">
        <v>2007</v>
      </c>
      <c r="BT601" s="14">
        <v>19</v>
      </c>
      <c r="BU601" s="10"/>
      <c r="BV601" s="8">
        <v>0</v>
      </c>
      <c r="BW601" s="59">
        <v>4</v>
      </c>
      <c r="BX601" s="59">
        <v>0</v>
      </c>
      <c r="BY601" s="59">
        <v>0</v>
      </c>
      <c r="BZ601" s="59">
        <v>0</v>
      </c>
      <c r="CA601" s="59">
        <v>0</v>
      </c>
      <c r="CB601" s="59">
        <v>0</v>
      </c>
      <c r="CC601" s="221"/>
      <c r="CD601" s="59">
        <v>1</v>
      </c>
      <c r="CE601" s="59">
        <v>4</v>
      </c>
      <c r="CF601" s="221">
        <v>0</v>
      </c>
      <c r="CG601" s="59">
        <v>0</v>
      </c>
      <c r="CH601" s="59">
        <v>0</v>
      </c>
      <c r="CI601" s="59">
        <v>25</v>
      </c>
      <c r="CJ601" s="59">
        <v>3</v>
      </c>
      <c r="CK601" s="59"/>
      <c r="CL601" s="59">
        <v>0</v>
      </c>
      <c r="CM601" s="59">
        <v>3</v>
      </c>
      <c r="CN601" s="59">
        <v>0</v>
      </c>
      <c r="CO601" s="59">
        <v>2</v>
      </c>
      <c r="CP601" s="317"/>
      <c r="CQ601" s="59">
        <v>0</v>
      </c>
      <c r="CR601" s="59"/>
      <c r="CS601" s="59">
        <v>0</v>
      </c>
      <c r="CT601" s="59">
        <v>12</v>
      </c>
      <c r="CU601" s="221">
        <v>0</v>
      </c>
      <c r="CV601" s="59">
        <v>4</v>
      </c>
      <c r="CW601" s="59">
        <v>0</v>
      </c>
      <c r="CX601" s="59">
        <v>0</v>
      </c>
      <c r="CY601" s="59">
        <v>0</v>
      </c>
      <c r="CZ601" s="59">
        <v>0</v>
      </c>
      <c r="DA601" s="59">
        <v>0</v>
      </c>
      <c r="DB601" s="59">
        <v>3</v>
      </c>
      <c r="DC601" s="59">
        <v>0</v>
      </c>
      <c r="DD601" s="59">
        <v>0</v>
      </c>
      <c r="DE601" s="59">
        <v>0</v>
      </c>
      <c r="DF601" s="59">
        <v>0</v>
      </c>
      <c r="DG601" s="59">
        <v>4</v>
      </c>
      <c r="DH601" s="59">
        <v>0</v>
      </c>
      <c r="DI601" s="59">
        <v>0</v>
      </c>
      <c r="DJ601" s="59">
        <v>0</v>
      </c>
      <c r="DK601" s="59">
        <v>0</v>
      </c>
      <c r="DL601" s="59">
        <v>0</v>
      </c>
      <c r="DM601" s="59">
        <v>0</v>
      </c>
      <c r="DN601" s="59">
        <v>0</v>
      </c>
      <c r="DO601" s="59">
        <v>0</v>
      </c>
      <c r="DP601" s="59">
        <v>0</v>
      </c>
      <c r="DQ601" s="59">
        <v>0</v>
      </c>
      <c r="DR601" s="59"/>
      <c r="DS601" s="59">
        <v>3</v>
      </c>
      <c r="DT601" s="59">
        <v>0</v>
      </c>
      <c r="DU601" s="59">
        <v>0</v>
      </c>
      <c r="DV601" s="38">
        <f t="shared" si="286"/>
        <v>68</v>
      </c>
      <c r="DW601" s="14" t="str">
        <f t="shared" si="285"/>
        <v/>
      </c>
      <c r="DY601">
        <f t="shared" si="288"/>
        <v>68</v>
      </c>
    </row>
    <row r="602" spans="1:131" customFormat="1">
      <c r="A602" s="210">
        <v>39370</v>
      </c>
      <c r="B602" s="211"/>
      <c r="C602" s="61">
        <v>2</v>
      </c>
      <c r="D602" s="59">
        <v>19</v>
      </c>
      <c r="E602" s="59">
        <v>0</v>
      </c>
      <c r="F602" s="59">
        <v>0</v>
      </c>
      <c r="G602" s="59">
        <v>2</v>
      </c>
      <c r="H602" s="59">
        <v>0</v>
      </c>
      <c r="I602" s="59">
        <v>0</v>
      </c>
      <c r="J602" s="59">
        <v>28</v>
      </c>
      <c r="K602" s="59">
        <v>4</v>
      </c>
      <c r="L602" s="59">
        <v>2</v>
      </c>
      <c r="M602" s="59">
        <v>0</v>
      </c>
      <c r="N602" s="59">
        <v>0</v>
      </c>
      <c r="O602" s="59">
        <v>3</v>
      </c>
      <c r="P602" s="59">
        <v>0</v>
      </c>
      <c r="Q602" s="59">
        <v>0</v>
      </c>
      <c r="R602" s="59">
        <v>0</v>
      </c>
      <c r="S602" s="35">
        <f t="shared" si="287"/>
        <v>60</v>
      </c>
      <c r="T602" s="59"/>
      <c r="U602" s="59">
        <v>17</v>
      </c>
      <c r="V602" s="59">
        <v>15</v>
      </c>
      <c r="W602" s="59">
        <v>0</v>
      </c>
      <c r="X602" s="5">
        <v>0</v>
      </c>
      <c r="Y602" s="10"/>
      <c r="Z602" s="61">
        <v>4566016</v>
      </c>
      <c r="AA602" s="101"/>
      <c r="AB602" s="101"/>
      <c r="AC602" s="61">
        <v>912921</v>
      </c>
      <c r="AD602" s="59"/>
      <c r="AE602" s="35">
        <f t="shared" si="284"/>
        <v>912921</v>
      </c>
      <c r="AF602" s="10"/>
      <c r="AG602" s="61">
        <v>78</v>
      </c>
      <c r="AH602" s="59">
        <v>131</v>
      </c>
      <c r="AI602" s="59">
        <v>220</v>
      </c>
      <c r="AJ602" s="62"/>
      <c r="AK602" s="10"/>
      <c r="AL602" s="8"/>
      <c r="AM602" s="59"/>
      <c r="AN602" s="35"/>
      <c r="AO602" s="279"/>
      <c r="AP602" s="279"/>
      <c r="AQ602" s="281"/>
      <c r="AR602" s="59">
        <v>142</v>
      </c>
      <c r="AS602" s="59"/>
      <c r="AT602" s="59"/>
      <c r="AU602" s="59"/>
      <c r="AV602" s="62"/>
      <c r="AW602" s="10"/>
      <c r="AX602" s="326">
        <v>39367</v>
      </c>
      <c r="AY602" s="5">
        <v>-3</v>
      </c>
      <c r="AZ602" s="10"/>
      <c r="BA602" s="61"/>
      <c r="BB602" s="59"/>
      <c r="BC602" s="59"/>
      <c r="BD602" s="59"/>
      <c r="BE602" s="59"/>
      <c r="BF602" s="59"/>
      <c r="BG602" s="59"/>
      <c r="BH602" s="351"/>
      <c r="BI602" s="59"/>
      <c r="BJ602" s="342"/>
      <c r="BK602" s="335"/>
      <c r="BL602" s="320"/>
      <c r="BM602" s="62"/>
      <c r="BN602" s="10"/>
      <c r="BO602" s="8"/>
      <c r="BP602" s="62"/>
      <c r="BQ602" s="10"/>
      <c r="BR602" s="29">
        <v>2008</v>
      </c>
      <c r="BS602" s="64">
        <v>2007</v>
      </c>
      <c r="BT602" s="14">
        <v>20</v>
      </c>
      <c r="BU602" s="10"/>
      <c r="BV602" s="8">
        <v>0</v>
      </c>
      <c r="BW602" s="59">
        <v>4</v>
      </c>
      <c r="BX602" s="59">
        <v>1</v>
      </c>
      <c r="BY602" s="59">
        <v>0</v>
      </c>
      <c r="BZ602" s="59">
        <v>0</v>
      </c>
      <c r="CA602" s="59">
        <v>0</v>
      </c>
      <c r="CB602" s="59">
        <v>0</v>
      </c>
      <c r="CC602" s="221"/>
      <c r="CD602" s="59">
        <v>2</v>
      </c>
      <c r="CE602" s="59">
        <v>2</v>
      </c>
      <c r="CF602" s="221">
        <v>0</v>
      </c>
      <c r="CG602" s="59">
        <v>0</v>
      </c>
      <c r="CH602" s="59">
        <v>0</v>
      </c>
      <c r="CI602" s="59">
        <v>1</v>
      </c>
      <c r="CJ602" s="59">
        <v>2</v>
      </c>
      <c r="CK602" s="59"/>
      <c r="CL602" s="59">
        <v>0</v>
      </c>
      <c r="CM602" s="59">
        <v>17</v>
      </c>
      <c r="CN602" s="59">
        <v>0</v>
      </c>
      <c r="CO602" s="59">
        <v>9</v>
      </c>
      <c r="CP602" s="317"/>
      <c r="CQ602" s="59">
        <v>0</v>
      </c>
      <c r="CR602" s="59"/>
      <c r="CS602" s="59">
        <v>0</v>
      </c>
      <c r="CT602" s="59">
        <v>3</v>
      </c>
      <c r="CU602" s="221">
        <v>0</v>
      </c>
      <c r="CV602" s="59">
        <v>3</v>
      </c>
      <c r="CW602" s="59">
        <v>0</v>
      </c>
      <c r="CX602" s="59">
        <v>0</v>
      </c>
      <c r="CY602" s="59">
        <v>1</v>
      </c>
      <c r="CZ602" s="59">
        <v>1</v>
      </c>
      <c r="DA602" s="59">
        <v>0</v>
      </c>
      <c r="DB602" s="59">
        <v>6</v>
      </c>
      <c r="DC602" s="59">
        <v>0</v>
      </c>
      <c r="DD602" s="59">
        <v>0</v>
      </c>
      <c r="DE602" s="59">
        <v>0</v>
      </c>
      <c r="DF602" s="59">
        <v>0</v>
      </c>
      <c r="DG602" s="59"/>
      <c r="DH602" s="59">
        <v>1</v>
      </c>
      <c r="DI602" s="59">
        <v>1</v>
      </c>
      <c r="DJ602" s="59">
        <v>1</v>
      </c>
      <c r="DK602" s="59">
        <v>0</v>
      </c>
      <c r="DL602" s="59">
        <v>0</v>
      </c>
      <c r="DM602" s="59">
        <v>4</v>
      </c>
      <c r="DN602" s="59">
        <v>0</v>
      </c>
      <c r="DO602" s="59">
        <v>1</v>
      </c>
      <c r="DP602" s="59">
        <v>0</v>
      </c>
      <c r="DQ602" s="59">
        <v>0</v>
      </c>
      <c r="DR602" s="59"/>
      <c r="DS602" s="59">
        <v>0</v>
      </c>
      <c r="DT602" s="59">
        <v>0</v>
      </c>
      <c r="DU602" s="59">
        <v>0</v>
      </c>
      <c r="DV602" s="38">
        <f t="shared" si="286"/>
        <v>60</v>
      </c>
      <c r="DW602" s="14" t="str">
        <f t="shared" si="285"/>
        <v/>
      </c>
      <c r="DY602">
        <f t="shared" si="288"/>
        <v>60</v>
      </c>
    </row>
    <row r="603" spans="1:131" customFormat="1">
      <c r="A603" s="210">
        <v>39387</v>
      </c>
      <c r="B603" s="211"/>
      <c r="C603" s="61">
        <v>0</v>
      </c>
      <c r="D603" s="59">
        <v>10</v>
      </c>
      <c r="E603" s="59">
        <v>0</v>
      </c>
      <c r="F603" s="59">
        <v>2</v>
      </c>
      <c r="G603" s="59">
        <v>2</v>
      </c>
      <c r="H603" s="59">
        <v>1</v>
      </c>
      <c r="I603" s="59">
        <v>0</v>
      </c>
      <c r="J603" s="59">
        <v>59</v>
      </c>
      <c r="K603" s="59">
        <v>0</v>
      </c>
      <c r="L603" s="59">
        <v>0</v>
      </c>
      <c r="M603" s="59">
        <v>0</v>
      </c>
      <c r="N603" s="59">
        <v>0</v>
      </c>
      <c r="O603" s="59">
        <v>6</v>
      </c>
      <c r="P603" s="59">
        <v>0</v>
      </c>
      <c r="Q603" s="59">
        <v>0</v>
      </c>
      <c r="R603" s="59">
        <v>0</v>
      </c>
      <c r="S603" s="35">
        <f t="shared" si="287"/>
        <v>80</v>
      </c>
      <c r="T603" s="59"/>
      <c r="U603" s="59">
        <v>47</v>
      </c>
      <c r="V603" s="59">
        <v>43</v>
      </c>
      <c r="W603" s="59">
        <v>0</v>
      </c>
      <c r="X603" s="5">
        <v>1</v>
      </c>
      <c r="Y603" s="10"/>
      <c r="Z603" s="61">
        <v>2188288</v>
      </c>
      <c r="AA603" s="101"/>
      <c r="AB603" s="101"/>
      <c r="AC603" s="61">
        <v>535187</v>
      </c>
      <c r="AD603" s="59"/>
      <c r="AE603" s="35">
        <f t="shared" si="284"/>
        <v>535187</v>
      </c>
      <c r="AF603" s="10"/>
      <c r="AG603" s="61">
        <v>100</v>
      </c>
      <c r="AH603" s="59">
        <v>39</v>
      </c>
      <c r="AI603" s="59">
        <v>157</v>
      </c>
      <c r="AJ603" s="62"/>
      <c r="AK603" s="10"/>
      <c r="AL603" s="8"/>
      <c r="AM603" s="10"/>
      <c r="AN603" s="35"/>
      <c r="AO603" s="279"/>
      <c r="AP603" s="279"/>
      <c r="AQ603" s="281"/>
      <c r="AR603" s="59">
        <v>140</v>
      </c>
      <c r="AS603" s="59"/>
      <c r="AT603" s="59"/>
      <c r="AU603" s="59"/>
      <c r="AV603" s="62"/>
      <c r="AW603" s="10"/>
      <c r="AX603" s="326">
        <v>39384</v>
      </c>
      <c r="AY603" s="5">
        <v>-3</v>
      </c>
      <c r="AZ603" s="10"/>
      <c r="BA603" s="61">
        <v>1866</v>
      </c>
      <c r="BB603" s="6">
        <v>50178598</v>
      </c>
      <c r="BC603" s="59"/>
      <c r="BD603" s="59"/>
      <c r="BE603" s="59">
        <v>120</v>
      </c>
      <c r="BF603" s="59">
        <v>4</v>
      </c>
      <c r="BG603" s="59">
        <v>4</v>
      </c>
      <c r="BH603" s="351"/>
      <c r="BI603" s="59">
        <v>5344453</v>
      </c>
      <c r="BJ603" s="342">
        <v>39396</v>
      </c>
      <c r="BK603" s="342">
        <v>39396</v>
      </c>
      <c r="BL603" s="320">
        <f>BK603-BJ603</f>
        <v>0</v>
      </c>
      <c r="BM603" s="62"/>
      <c r="BN603" s="10"/>
      <c r="BO603" s="8"/>
      <c r="BP603" s="62">
        <v>160</v>
      </c>
      <c r="BQ603" s="10"/>
      <c r="BR603" s="29">
        <v>2008</v>
      </c>
      <c r="BS603" s="64">
        <v>2007</v>
      </c>
      <c r="BT603" s="14">
        <v>21</v>
      </c>
      <c r="BU603" s="10"/>
      <c r="BV603" s="8">
        <v>2</v>
      </c>
      <c r="BW603" s="59">
        <v>2</v>
      </c>
      <c r="BX603" s="59">
        <v>0</v>
      </c>
      <c r="BY603" s="59">
        <v>0</v>
      </c>
      <c r="BZ603" s="59">
        <v>0</v>
      </c>
      <c r="CA603" s="59">
        <v>2</v>
      </c>
      <c r="CB603" s="59">
        <v>0</v>
      </c>
      <c r="CC603" s="221"/>
      <c r="CD603" s="59">
        <v>4</v>
      </c>
      <c r="CE603" s="59">
        <v>0</v>
      </c>
      <c r="CF603" s="221">
        <v>0</v>
      </c>
      <c r="CG603" s="59">
        <v>0</v>
      </c>
      <c r="CH603" s="59">
        <v>0</v>
      </c>
      <c r="CI603" s="59">
        <v>13</v>
      </c>
      <c r="CJ603" s="59">
        <v>12</v>
      </c>
      <c r="CK603" s="59"/>
      <c r="CL603" s="59">
        <v>0</v>
      </c>
      <c r="CM603" s="59">
        <v>0</v>
      </c>
      <c r="CN603" s="59">
        <v>0</v>
      </c>
      <c r="CO603" s="59">
        <v>14</v>
      </c>
      <c r="CP603" s="317"/>
      <c r="CQ603" s="59">
        <v>8</v>
      </c>
      <c r="CR603" s="59"/>
      <c r="CS603" s="59">
        <v>1</v>
      </c>
      <c r="CT603" s="59">
        <v>2</v>
      </c>
      <c r="CU603" s="221">
        <v>0</v>
      </c>
      <c r="CV603" s="59">
        <v>1</v>
      </c>
      <c r="CW603" s="59">
        <v>0</v>
      </c>
      <c r="CX603" s="59">
        <v>0</v>
      </c>
      <c r="CY603" s="59">
        <v>0</v>
      </c>
      <c r="CZ603" s="59">
        <v>0</v>
      </c>
      <c r="DA603" s="59">
        <v>1</v>
      </c>
      <c r="DB603" s="59">
        <v>4</v>
      </c>
      <c r="DC603" s="59">
        <v>0</v>
      </c>
      <c r="DD603" s="59">
        <v>1</v>
      </c>
      <c r="DE603" s="59">
        <v>0</v>
      </c>
      <c r="DF603" s="59">
        <v>0</v>
      </c>
      <c r="DG603" s="59">
        <v>7</v>
      </c>
      <c r="DH603" s="59">
        <v>0</v>
      </c>
      <c r="DI603" s="59">
        <v>5</v>
      </c>
      <c r="DJ603" s="59">
        <v>0</v>
      </c>
      <c r="DK603" s="59">
        <v>0</v>
      </c>
      <c r="DL603" s="59">
        <v>0</v>
      </c>
      <c r="DM603" s="59">
        <v>1</v>
      </c>
      <c r="DN603" s="59">
        <v>0</v>
      </c>
      <c r="DO603" s="59">
        <v>0</v>
      </c>
      <c r="DP603" s="59">
        <v>0</v>
      </c>
      <c r="DQ603" s="59">
        <v>0</v>
      </c>
      <c r="DR603" s="59"/>
      <c r="DS603" s="59">
        <v>0</v>
      </c>
      <c r="DT603" s="59">
        <v>0</v>
      </c>
      <c r="DU603" s="59">
        <v>0</v>
      </c>
      <c r="DV603" s="38">
        <f t="shared" si="286"/>
        <v>80</v>
      </c>
      <c r="DW603" s="14" t="str">
        <f t="shared" si="285"/>
        <v/>
      </c>
      <c r="DY603">
        <f t="shared" si="288"/>
        <v>80</v>
      </c>
    </row>
    <row r="604" spans="1:131" customFormat="1">
      <c r="A604" s="210">
        <v>39401</v>
      </c>
      <c r="B604" s="211"/>
      <c r="C604" s="61">
        <v>5</v>
      </c>
      <c r="D604" s="59">
        <v>19</v>
      </c>
      <c r="E604" s="59">
        <v>1</v>
      </c>
      <c r="F604" s="59">
        <v>1</v>
      </c>
      <c r="G604" s="59">
        <v>0</v>
      </c>
      <c r="H604" s="59">
        <v>0</v>
      </c>
      <c r="I604" s="59">
        <v>0</v>
      </c>
      <c r="J604" s="59">
        <v>19</v>
      </c>
      <c r="K604" s="59">
        <v>0</v>
      </c>
      <c r="L604" s="59">
        <v>1</v>
      </c>
      <c r="M604" s="59">
        <v>0</v>
      </c>
      <c r="N604" s="59">
        <v>0</v>
      </c>
      <c r="O604" s="59">
        <v>5</v>
      </c>
      <c r="P604" s="59">
        <v>0</v>
      </c>
      <c r="Q604" s="59">
        <v>0</v>
      </c>
      <c r="R604" s="59">
        <v>0</v>
      </c>
      <c r="S604" s="35">
        <f t="shared" si="287"/>
        <v>51</v>
      </c>
      <c r="T604" s="59"/>
      <c r="U604" s="59">
        <v>38</v>
      </c>
      <c r="V604" s="59">
        <v>27</v>
      </c>
      <c r="W604" s="59">
        <v>0</v>
      </c>
      <c r="X604" s="5">
        <v>0</v>
      </c>
      <c r="Y604" s="10"/>
      <c r="Z604" s="61">
        <v>2245120</v>
      </c>
      <c r="AA604" s="101"/>
      <c r="AB604" s="101"/>
      <c r="AC604" s="61">
        <v>605214</v>
      </c>
      <c r="AD604" s="59"/>
      <c r="AE604" s="35">
        <f t="shared" si="284"/>
        <v>605214</v>
      </c>
      <c r="AF604" s="10"/>
      <c r="AG604" s="61">
        <v>93</v>
      </c>
      <c r="AH604" s="59">
        <v>41</v>
      </c>
      <c r="AI604" s="59">
        <v>150</v>
      </c>
      <c r="AJ604" s="62"/>
      <c r="AK604" s="10"/>
      <c r="AL604" s="8"/>
      <c r="AM604" s="10"/>
      <c r="AN604" s="35"/>
      <c r="AO604" s="279"/>
      <c r="AP604" s="279"/>
      <c r="AQ604" s="281"/>
      <c r="AR604" s="59">
        <v>138</v>
      </c>
      <c r="AS604" s="59">
        <v>59</v>
      </c>
      <c r="AT604" s="59">
        <v>120</v>
      </c>
      <c r="AU604" s="59">
        <v>17</v>
      </c>
      <c r="AV604" s="62">
        <v>234</v>
      </c>
      <c r="AW604" s="10"/>
      <c r="AX604" s="326">
        <v>39399</v>
      </c>
      <c r="AY604" s="5">
        <v>-2</v>
      </c>
      <c r="AZ604" s="10"/>
      <c r="BA604" s="61"/>
      <c r="BB604" s="59"/>
      <c r="BC604" s="59"/>
      <c r="BD604" s="59"/>
      <c r="BE604" s="59"/>
      <c r="BF604" s="59"/>
      <c r="BG604" s="59"/>
      <c r="BH604" s="351"/>
      <c r="BI604" s="102"/>
      <c r="BJ604" s="344"/>
      <c r="BK604" s="335"/>
      <c r="BL604" s="321"/>
      <c r="BM604" s="62"/>
      <c r="BN604" s="10"/>
      <c r="BO604" s="8"/>
      <c r="BP604" s="62"/>
      <c r="BQ604" s="10"/>
      <c r="BR604" s="29">
        <v>2008</v>
      </c>
      <c r="BS604" s="64">
        <v>2007</v>
      </c>
      <c r="BT604" s="14">
        <v>22</v>
      </c>
      <c r="BU604" s="10"/>
      <c r="BV604" s="8">
        <v>1</v>
      </c>
      <c r="BW604" s="59">
        <v>1</v>
      </c>
      <c r="BX604" s="59">
        <v>0</v>
      </c>
      <c r="BY604" s="59">
        <v>0</v>
      </c>
      <c r="BZ604" s="59">
        <v>4</v>
      </c>
      <c r="CA604" s="59">
        <v>0</v>
      </c>
      <c r="CB604" s="59">
        <v>0</v>
      </c>
      <c r="CC604" s="221"/>
      <c r="CD604" s="59">
        <v>5</v>
      </c>
      <c r="CE604" s="59">
        <v>0</v>
      </c>
      <c r="CF604" s="221">
        <v>0</v>
      </c>
      <c r="CG604" s="59">
        <v>0</v>
      </c>
      <c r="CH604" s="59">
        <v>1</v>
      </c>
      <c r="CI604" s="59">
        <v>5</v>
      </c>
      <c r="CJ604" s="59">
        <v>4</v>
      </c>
      <c r="CK604" s="59"/>
      <c r="CL604" s="59">
        <v>0</v>
      </c>
      <c r="CM604" s="59">
        <v>0</v>
      </c>
      <c r="CN604" s="59">
        <v>1</v>
      </c>
      <c r="CO604" s="59">
        <v>6</v>
      </c>
      <c r="CP604" s="317"/>
      <c r="CQ604" s="59">
        <v>0</v>
      </c>
      <c r="CR604" s="59"/>
      <c r="CS604" s="59">
        <v>0</v>
      </c>
      <c r="CT604" s="59">
        <v>1</v>
      </c>
      <c r="CU604" s="221">
        <v>0</v>
      </c>
      <c r="CV604" s="59">
        <v>2</v>
      </c>
      <c r="CW604" s="59">
        <v>0</v>
      </c>
      <c r="CX604" s="59">
        <v>0</v>
      </c>
      <c r="CY604" s="59">
        <v>3</v>
      </c>
      <c r="CZ604" s="59">
        <v>0</v>
      </c>
      <c r="DA604" s="59">
        <v>1</v>
      </c>
      <c r="DB604" s="59">
        <v>5</v>
      </c>
      <c r="DC604" s="59">
        <v>0</v>
      </c>
      <c r="DD604" s="59">
        <v>0</v>
      </c>
      <c r="DE604" s="59">
        <v>0</v>
      </c>
      <c r="DF604" s="59">
        <v>0</v>
      </c>
      <c r="DG604" s="59">
        <v>0</v>
      </c>
      <c r="DH604" s="59">
        <v>0</v>
      </c>
      <c r="DI604" s="59">
        <v>4</v>
      </c>
      <c r="DJ604" s="59">
        <v>1</v>
      </c>
      <c r="DK604" s="59">
        <v>0</v>
      </c>
      <c r="DL604" s="59">
        <v>0</v>
      </c>
      <c r="DM604" s="59">
        <v>0</v>
      </c>
      <c r="DN604" s="59">
        <v>0</v>
      </c>
      <c r="DO604" s="59">
        <v>3</v>
      </c>
      <c r="DP604" s="59">
        <v>0</v>
      </c>
      <c r="DQ604" s="59">
        <v>2</v>
      </c>
      <c r="DR604" s="59"/>
      <c r="DS604" s="59">
        <v>1</v>
      </c>
      <c r="DT604" s="59">
        <v>0</v>
      </c>
      <c r="DU604" s="59">
        <v>0</v>
      </c>
      <c r="DV604" s="38">
        <f t="shared" si="286"/>
        <v>51</v>
      </c>
      <c r="DW604" s="14" t="str">
        <f t="shared" si="285"/>
        <v/>
      </c>
      <c r="DY604">
        <f t="shared" si="288"/>
        <v>51</v>
      </c>
    </row>
    <row r="605" spans="1:131" customFormat="1">
      <c r="A605" s="210">
        <v>39417</v>
      </c>
      <c r="B605" s="211"/>
      <c r="C605" s="61">
        <v>0</v>
      </c>
      <c r="D605" s="59">
        <v>25</v>
      </c>
      <c r="E605" s="59">
        <v>3</v>
      </c>
      <c r="F605" s="59">
        <v>1</v>
      </c>
      <c r="G605" s="59">
        <v>0</v>
      </c>
      <c r="H605" s="59">
        <v>1</v>
      </c>
      <c r="I605" s="59">
        <v>0</v>
      </c>
      <c r="J605" s="59">
        <v>46</v>
      </c>
      <c r="K605" s="59">
        <v>2</v>
      </c>
      <c r="L605" s="59">
        <v>0</v>
      </c>
      <c r="M605" s="59">
        <v>0</v>
      </c>
      <c r="N605" s="59">
        <v>0</v>
      </c>
      <c r="O605" s="59">
        <v>5</v>
      </c>
      <c r="P605" s="59">
        <v>1</v>
      </c>
      <c r="Q605" s="59">
        <v>0</v>
      </c>
      <c r="R605" s="59">
        <v>0</v>
      </c>
      <c r="S605" s="35">
        <f t="shared" si="287"/>
        <v>84</v>
      </c>
      <c r="T605" s="59"/>
      <c r="U605" s="59">
        <v>66</v>
      </c>
      <c r="V605" s="59">
        <v>47</v>
      </c>
      <c r="W605" s="59">
        <v>0</v>
      </c>
      <c r="X605" s="5">
        <v>0</v>
      </c>
      <c r="Y605" s="10"/>
      <c r="Z605" s="61">
        <v>2279424</v>
      </c>
      <c r="AA605" s="101"/>
      <c r="AB605" s="101"/>
      <c r="AC605" s="61">
        <v>539540</v>
      </c>
      <c r="AD605" s="59"/>
      <c r="AE605" s="35">
        <f t="shared" si="284"/>
        <v>539540</v>
      </c>
      <c r="AF605" s="10"/>
      <c r="AG605" s="61">
        <v>100</v>
      </c>
      <c r="AH605" s="59">
        <v>43</v>
      </c>
      <c r="AI605" s="59">
        <v>156</v>
      </c>
      <c r="AJ605" s="62"/>
      <c r="AK605" s="10"/>
      <c r="AL605" s="8"/>
      <c r="AM605" s="10"/>
      <c r="AN605" s="35"/>
      <c r="AO605" s="279"/>
      <c r="AP605" s="279"/>
      <c r="AQ605" s="281"/>
      <c r="AR605" s="59">
        <v>137</v>
      </c>
      <c r="AS605" s="59">
        <v>59</v>
      </c>
      <c r="AT605" s="59">
        <v>121</v>
      </c>
      <c r="AU605" s="59">
        <v>18</v>
      </c>
      <c r="AV605" s="62">
        <v>236</v>
      </c>
      <c r="AW605" s="10"/>
      <c r="AX605" s="326">
        <v>39416</v>
      </c>
      <c r="AY605" s="5">
        <v>-1</v>
      </c>
      <c r="AZ605" s="10"/>
      <c r="BA605" s="61">
        <v>1871</v>
      </c>
      <c r="BB605" s="59">
        <v>50529802</v>
      </c>
      <c r="BC605" s="59"/>
      <c r="BD605" s="59"/>
      <c r="BE605" s="59">
        <v>120</v>
      </c>
      <c r="BF605" s="59">
        <v>6</v>
      </c>
      <c r="BG605" s="59">
        <v>1</v>
      </c>
      <c r="BH605" s="351"/>
      <c r="BI605" s="59">
        <v>3977216</v>
      </c>
      <c r="BJ605" s="342">
        <v>39426</v>
      </c>
      <c r="BK605" s="342">
        <v>39435</v>
      </c>
      <c r="BL605" s="320">
        <f>BK605-BJ605</f>
        <v>9</v>
      </c>
      <c r="BM605" s="62"/>
      <c r="BN605" s="10"/>
      <c r="BO605" s="8"/>
      <c r="BP605" s="62">
        <v>160</v>
      </c>
      <c r="BQ605" s="10"/>
      <c r="BR605" s="29">
        <v>2008</v>
      </c>
      <c r="BS605" s="64">
        <v>2007</v>
      </c>
      <c r="BT605" s="14">
        <v>23</v>
      </c>
      <c r="BU605" s="10"/>
      <c r="BV605" s="8">
        <v>0</v>
      </c>
      <c r="BW605" s="59">
        <v>0</v>
      </c>
      <c r="BX605" s="59">
        <v>0</v>
      </c>
      <c r="BY605" s="59">
        <v>0</v>
      </c>
      <c r="BZ605" s="59">
        <v>0</v>
      </c>
      <c r="CA605" s="59">
        <v>0</v>
      </c>
      <c r="CB605" s="59">
        <v>0</v>
      </c>
      <c r="CC605" s="221"/>
      <c r="CD605" s="59">
        <v>7</v>
      </c>
      <c r="CE605" s="59">
        <v>1</v>
      </c>
      <c r="CF605" s="221">
        <v>0</v>
      </c>
      <c r="CG605" s="59">
        <v>2</v>
      </c>
      <c r="CH605" s="59">
        <v>0</v>
      </c>
      <c r="CI605" s="59">
        <v>1</v>
      </c>
      <c r="CJ605" s="59">
        <v>13</v>
      </c>
      <c r="CK605" s="59"/>
      <c r="CL605" s="59">
        <v>0</v>
      </c>
      <c r="CM605" s="59">
        <v>0</v>
      </c>
      <c r="CN605" s="59">
        <v>0</v>
      </c>
      <c r="CO605" s="59">
        <v>5</v>
      </c>
      <c r="CP605" s="317"/>
      <c r="CQ605" s="59">
        <v>0</v>
      </c>
      <c r="CR605" s="59"/>
      <c r="CS605" s="59">
        <v>0</v>
      </c>
      <c r="CT605" s="59">
        <v>7</v>
      </c>
      <c r="CU605" s="221">
        <v>0</v>
      </c>
      <c r="CV605" s="59">
        <v>3</v>
      </c>
      <c r="CW605" s="59">
        <v>0</v>
      </c>
      <c r="CX605" s="59">
        <v>0</v>
      </c>
      <c r="CY605" s="59">
        <v>7</v>
      </c>
      <c r="CZ605" s="59">
        <v>0</v>
      </c>
      <c r="DA605" s="59">
        <v>1</v>
      </c>
      <c r="DB605" s="59">
        <v>21</v>
      </c>
      <c r="DC605" s="59">
        <v>0</v>
      </c>
      <c r="DD605" s="59">
        <v>0</v>
      </c>
      <c r="DE605" s="59">
        <v>0</v>
      </c>
      <c r="DF605" s="59">
        <v>0</v>
      </c>
      <c r="DG605" s="59">
        <v>7</v>
      </c>
      <c r="DH605" s="59">
        <v>0</v>
      </c>
      <c r="DI605" s="59">
        <v>2</v>
      </c>
      <c r="DJ605" s="59">
        <v>1</v>
      </c>
      <c r="DK605" s="59">
        <v>0</v>
      </c>
      <c r="DL605" s="59">
        <v>0</v>
      </c>
      <c r="DM605" s="59">
        <v>4</v>
      </c>
      <c r="DN605" s="59">
        <v>1</v>
      </c>
      <c r="DO605" s="59">
        <v>0</v>
      </c>
      <c r="DP605" s="59">
        <v>0</v>
      </c>
      <c r="DQ605" s="59">
        <v>0</v>
      </c>
      <c r="DR605" s="59"/>
      <c r="DS605" s="59">
        <v>1</v>
      </c>
      <c r="DT605" s="59">
        <v>0</v>
      </c>
      <c r="DU605" s="59">
        <v>0</v>
      </c>
      <c r="DV605" s="38">
        <f t="shared" si="286"/>
        <v>84</v>
      </c>
      <c r="DW605" s="14" t="str">
        <f t="shared" si="285"/>
        <v/>
      </c>
      <c r="DY605">
        <f t="shared" si="288"/>
        <v>84</v>
      </c>
    </row>
    <row r="606" spans="1:131" customFormat="1">
      <c r="A606" s="210">
        <v>39431</v>
      </c>
      <c r="B606" s="211"/>
      <c r="C606" s="61">
        <v>1</v>
      </c>
      <c r="D606" s="59">
        <v>15</v>
      </c>
      <c r="E606" s="59">
        <v>3</v>
      </c>
      <c r="F606" s="59">
        <v>0</v>
      </c>
      <c r="G606" s="59">
        <v>0</v>
      </c>
      <c r="H606" s="59">
        <v>0</v>
      </c>
      <c r="I606" s="59">
        <v>0</v>
      </c>
      <c r="J606" s="59">
        <v>36</v>
      </c>
      <c r="K606" s="59">
        <v>1</v>
      </c>
      <c r="L606" s="59">
        <v>0</v>
      </c>
      <c r="M606" s="59">
        <v>0</v>
      </c>
      <c r="N606" s="59">
        <v>0</v>
      </c>
      <c r="O606" s="59">
        <v>2</v>
      </c>
      <c r="P606" s="59">
        <v>4</v>
      </c>
      <c r="Q606" s="59">
        <v>0</v>
      </c>
      <c r="R606" s="59">
        <v>0</v>
      </c>
      <c r="S606" s="35">
        <f t="shared" si="287"/>
        <v>62</v>
      </c>
      <c r="T606" s="59"/>
      <c r="U606" s="59">
        <v>32</v>
      </c>
      <c r="V606" s="59">
        <v>27</v>
      </c>
      <c r="W606" s="59">
        <v>0</v>
      </c>
      <c r="X606" s="5">
        <v>0</v>
      </c>
      <c r="Y606" s="59"/>
      <c r="Z606" s="61">
        <v>4998144</v>
      </c>
      <c r="AA606" s="101"/>
      <c r="AB606" s="101"/>
      <c r="AC606" s="61">
        <v>412547</v>
      </c>
      <c r="AD606" s="59"/>
      <c r="AE606" s="35">
        <f t="shared" si="284"/>
        <v>412547</v>
      </c>
      <c r="AF606" s="10"/>
      <c r="AG606" s="61">
        <v>48</v>
      </c>
      <c r="AH606" s="59">
        <v>153</v>
      </c>
      <c r="AI606" s="59">
        <v>214</v>
      </c>
      <c r="AJ606" s="62"/>
      <c r="AK606" s="10"/>
      <c r="AL606" s="8"/>
      <c r="AM606" s="10"/>
      <c r="AN606" s="35"/>
      <c r="AO606" s="279"/>
      <c r="AP606" s="279"/>
      <c r="AQ606" s="281"/>
      <c r="AR606" s="59">
        <v>135</v>
      </c>
      <c r="AS606" s="59"/>
      <c r="AT606" s="59"/>
      <c r="AU606" s="59"/>
      <c r="AV606" s="62"/>
      <c r="AW606" s="10"/>
      <c r="AX606" s="326">
        <v>39430</v>
      </c>
      <c r="AY606" s="5">
        <v>-1</v>
      </c>
      <c r="AZ606" s="10"/>
      <c r="BA606" s="61"/>
      <c r="BB606" s="59"/>
      <c r="BC606" s="59"/>
      <c r="BD606" s="59"/>
      <c r="BE606" s="59"/>
      <c r="BF606" s="59"/>
      <c r="BG606" s="59"/>
      <c r="BH606" s="351"/>
      <c r="BI606" s="59"/>
      <c r="BJ606" s="342"/>
      <c r="BK606" s="335"/>
      <c r="BL606" s="320"/>
      <c r="BM606" s="62"/>
      <c r="BN606" s="10"/>
      <c r="BO606" s="8"/>
      <c r="BP606" s="62"/>
      <c r="BQ606" s="10"/>
      <c r="BR606" s="29">
        <v>2008</v>
      </c>
      <c r="BS606" s="64">
        <v>2007</v>
      </c>
      <c r="BT606" s="14">
        <v>24</v>
      </c>
      <c r="BU606" s="10"/>
      <c r="BV606" s="8">
        <v>7</v>
      </c>
      <c r="BW606" s="59">
        <v>0</v>
      </c>
      <c r="BX606" s="59">
        <v>0</v>
      </c>
      <c r="BY606" s="59">
        <v>0</v>
      </c>
      <c r="BZ606" s="59">
        <v>0</v>
      </c>
      <c r="CA606" s="59">
        <v>0</v>
      </c>
      <c r="CB606" s="59">
        <v>0</v>
      </c>
      <c r="CC606" s="221"/>
      <c r="CD606" s="59">
        <v>1</v>
      </c>
      <c r="CE606" s="59">
        <v>0</v>
      </c>
      <c r="CF606" s="221">
        <v>0</v>
      </c>
      <c r="CG606" s="59">
        <v>0</v>
      </c>
      <c r="CH606" s="59">
        <v>0</v>
      </c>
      <c r="CI606" s="59">
        <v>1</v>
      </c>
      <c r="CJ606" s="59">
        <v>3</v>
      </c>
      <c r="CK606" s="59"/>
      <c r="CL606" s="59">
        <v>0</v>
      </c>
      <c r="CM606" s="59">
        <v>0</v>
      </c>
      <c r="CN606" s="59">
        <v>1</v>
      </c>
      <c r="CO606" s="59">
        <v>21</v>
      </c>
      <c r="CP606" s="317"/>
      <c r="CQ606" s="59">
        <v>0</v>
      </c>
      <c r="CR606" s="59"/>
      <c r="CS606" s="59">
        <v>1</v>
      </c>
      <c r="CT606" s="59">
        <v>9</v>
      </c>
      <c r="CU606" s="221">
        <v>0</v>
      </c>
      <c r="CV606" s="59">
        <v>0</v>
      </c>
      <c r="CW606" s="59">
        <v>0</v>
      </c>
      <c r="CX606" s="59">
        <v>0</v>
      </c>
      <c r="CY606" s="59">
        <v>0</v>
      </c>
      <c r="CZ606" s="59">
        <v>0</v>
      </c>
      <c r="DA606" s="59">
        <v>0</v>
      </c>
      <c r="DB606" s="59">
        <v>2</v>
      </c>
      <c r="DC606" s="59">
        <v>0</v>
      </c>
      <c r="DD606" s="59">
        <v>0</v>
      </c>
      <c r="DE606" s="59">
        <v>0</v>
      </c>
      <c r="DF606" s="59">
        <v>0</v>
      </c>
      <c r="DG606" s="59">
        <v>6</v>
      </c>
      <c r="DH606" s="59">
        <v>0</v>
      </c>
      <c r="DI606" s="59">
        <v>3</v>
      </c>
      <c r="DJ606" s="59">
        <v>0</v>
      </c>
      <c r="DK606" s="59">
        <v>0</v>
      </c>
      <c r="DL606" s="59">
        <v>0</v>
      </c>
      <c r="DM606" s="59">
        <v>1</v>
      </c>
      <c r="DN606" s="59">
        <v>0</v>
      </c>
      <c r="DO606" s="59">
        <v>5</v>
      </c>
      <c r="DP606" s="59">
        <v>0</v>
      </c>
      <c r="DQ606" s="59">
        <v>0</v>
      </c>
      <c r="DR606" s="59"/>
      <c r="DS606" s="59">
        <v>1</v>
      </c>
      <c r="DT606" s="59">
        <v>0</v>
      </c>
      <c r="DU606" s="59">
        <v>0</v>
      </c>
      <c r="DV606" s="38">
        <f t="shared" si="286"/>
        <v>62</v>
      </c>
      <c r="DW606" s="14" t="str">
        <f t="shared" si="285"/>
        <v/>
      </c>
      <c r="DY606">
        <f t="shared" si="288"/>
        <v>62</v>
      </c>
      <c r="DZ606" t="str">
        <f t="shared" ref="DZ606:DZ618" si="289">IF(DV606-DY606=0,"",DV606-DY606)</f>
        <v/>
      </c>
    </row>
    <row r="607" spans="1:131" customFormat="1">
      <c r="A607" s="210">
        <v>39448</v>
      </c>
      <c r="B607" s="211"/>
      <c r="C607" s="8">
        <v>3</v>
      </c>
      <c r="D607" s="59">
        <v>18</v>
      </c>
      <c r="E607" s="59">
        <v>1</v>
      </c>
      <c r="F607" s="59">
        <v>1</v>
      </c>
      <c r="G607" s="59">
        <v>0</v>
      </c>
      <c r="H607" s="59">
        <v>0</v>
      </c>
      <c r="I607" s="59">
        <v>0</v>
      </c>
      <c r="J607" s="59">
        <v>23</v>
      </c>
      <c r="K607" s="59">
        <v>0</v>
      </c>
      <c r="L607" s="59">
        <v>1</v>
      </c>
      <c r="M607" s="59">
        <v>0</v>
      </c>
      <c r="N607" s="59">
        <v>0</v>
      </c>
      <c r="O607" s="59">
        <v>14</v>
      </c>
      <c r="P607" s="59">
        <v>0</v>
      </c>
      <c r="Q607" s="59">
        <v>1</v>
      </c>
      <c r="R607" s="59">
        <v>0</v>
      </c>
      <c r="S607" s="35">
        <f t="shared" si="287"/>
        <v>62</v>
      </c>
      <c r="T607" s="59"/>
      <c r="U607" s="59">
        <v>21</v>
      </c>
      <c r="V607" s="59">
        <v>17</v>
      </c>
      <c r="W607" s="59">
        <v>0</v>
      </c>
      <c r="X607" s="62">
        <v>0</v>
      </c>
      <c r="Y607" s="10"/>
      <c r="Z607" s="61">
        <v>1037824</v>
      </c>
      <c r="AA607" s="101"/>
      <c r="AB607" s="101"/>
      <c r="AC607" s="61">
        <v>594670</v>
      </c>
      <c r="AD607" s="59"/>
      <c r="AE607" s="35">
        <f t="shared" si="284"/>
        <v>594670</v>
      </c>
      <c r="AF607" s="10"/>
      <c r="AG607" s="61">
        <v>50</v>
      </c>
      <c r="AH607" s="59">
        <v>35</v>
      </c>
      <c r="AI607" s="59">
        <v>96</v>
      </c>
      <c r="AJ607" s="62"/>
      <c r="AK607" s="10"/>
      <c r="AL607" s="61">
        <v>0</v>
      </c>
      <c r="AM607" s="59">
        <v>44</v>
      </c>
      <c r="AN607" s="35">
        <f>SUM(AL607:AM607)</f>
        <v>44</v>
      </c>
      <c r="AO607" s="279"/>
      <c r="AP607" s="279"/>
      <c r="AQ607" s="281"/>
      <c r="AR607" s="59">
        <v>135</v>
      </c>
      <c r="AS607" s="59">
        <v>64</v>
      </c>
      <c r="AT607" s="59">
        <v>122</v>
      </c>
      <c r="AU607" s="59">
        <v>17</v>
      </c>
      <c r="AV607" s="62">
        <v>243</v>
      </c>
      <c r="AW607" s="10"/>
      <c r="AX607" s="326">
        <v>39444</v>
      </c>
      <c r="AY607" s="5">
        <v>-4</v>
      </c>
      <c r="AZ607" s="10"/>
      <c r="BA607" s="61">
        <v>1873</v>
      </c>
      <c r="BB607" s="59">
        <v>51056406</v>
      </c>
      <c r="BC607" s="59"/>
      <c r="BD607" s="59"/>
      <c r="BE607" s="59">
        <v>73</v>
      </c>
      <c r="BF607" s="59">
        <v>3</v>
      </c>
      <c r="BG607" s="59">
        <v>1</v>
      </c>
      <c r="BH607" s="351"/>
      <c r="BI607" s="59">
        <v>2445178</v>
      </c>
      <c r="BJ607" s="342">
        <v>39457</v>
      </c>
      <c r="BK607" s="342">
        <v>39457</v>
      </c>
      <c r="BL607" s="320">
        <f>BK607-BJ607</f>
        <v>0</v>
      </c>
      <c r="BM607" s="62"/>
      <c r="BN607" s="10"/>
      <c r="BO607" s="8"/>
      <c r="BP607" s="62">
        <v>161</v>
      </c>
      <c r="BQ607" s="10"/>
      <c r="BR607" s="29">
        <v>2008</v>
      </c>
      <c r="BS607" s="64">
        <v>2008</v>
      </c>
      <c r="BT607" s="14">
        <v>1</v>
      </c>
      <c r="BU607" s="10"/>
      <c r="BV607" s="8">
        <v>1</v>
      </c>
      <c r="BW607" s="59">
        <v>0</v>
      </c>
      <c r="BX607" s="59">
        <v>0</v>
      </c>
      <c r="BY607" s="59">
        <v>0</v>
      </c>
      <c r="BZ607" s="59">
        <v>0</v>
      </c>
      <c r="CA607" s="59">
        <v>0</v>
      </c>
      <c r="CB607" s="59">
        <v>0</v>
      </c>
      <c r="CC607" s="221"/>
      <c r="CD607" s="59">
        <v>0</v>
      </c>
      <c r="CE607" s="59">
        <v>1</v>
      </c>
      <c r="CF607" s="221">
        <v>0</v>
      </c>
      <c r="CG607" s="59">
        <v>1</v>
      </c>
      <c r="CH607" s="59">
        <v>0</v>
      </c>
      <c r="CI607" s="59">
        <v>4</v>
      </c>
      <c r="CJ607" s="59">
        <v>3</v>
      </c>
      <c r="CK607" s="59"/>
      <c r="CL607" s="59">
        <v>0</v>
      </c>
      <c r="CM607" s="59">
        <v>1</v>
      </c>
      <c r="CN607" s="59">
        <v>0</v>
      </c>
      <c r="CO607" s="59">
        <v>10</v>
      </c>
      <c r="CP607" s="317"/>
      <c r="CQ607" s="59">
        <v>0</v>
      </c>
      <c r="CR607" s="59"/>
      <c r="CS607" s="59">
        <v>0</v>
      </c>
      <c r="CT607" s="59">
        <v>0</v>
      </c>
      <c r="CU607" s="221">
        <v>0</v>
      </c>
      <c r="CV607" s="59">
        <v>0</v>
      </c>
      <c r="CW607" s="59">
        <v>0</v>
      </c>
      <c r="CX607" s="59">
        <v>0</v>
      </c>
      <c r="CY607" s="59">
        <v>2</v>
      </c>
      <c r="CZ607" s="59">
        <v>0</v>
      </c>
      <c r="DA607" s="59">
        <v>0</v>
      </c>
      <c r="DB607" s="59">
        <v>11</v>
      </c>
      <c r="DC607" s="59">
        <v>0</v>
      </c>
      <c r="DD607" s="59">
        <v>0</v>
      </c>
      <c r="DE607" s="59">
        <v>0</v>
      </c>
      <c r="DF607" s="59">
        <v>0</v>
      </c>
      <c r="DG607" s="59">
        <v>0</v>
      </c>
      <c r="DH607" s="59">
        <v>6</v>
      </c>
      <c r="DI607" s="59">
        <v>15</v>
      </c>
      <c r="DJ607" s="59">
        <v>1</v>
      </c>
      <c r="DK607" s="59">
        <v>0</v>
      </c>
      <c r="DL607" s="59">
        <v>0</v>
      </c>
      <c r="DM607" s="59">
        <v>6</v>
      </c>
      <c r="DN607" s="59">
        <v>0</v>
      </c>
      <c r="DO607" s="59">
        <v>0</v>
      </c>
      <c r="DP607" s="59">
        <v>0</v>
      </c>
      <c r="DQ607" s="59">
        <v>0</v>
      </c>
      <c r="DR607" s="59"/>
      <c r="DS607" s="59">
        <v>0</v>
      </c>
      <c r="DT607" s="59">
        <v>0</v>
      </c>
      <c r="DU607" s="59">
        <v>0</v>
      </c>
      <c r="DV607" s="38">
        <f t="shared" si="286"/>
        <v>62</v>
      </c>
      <c r="DW607" s="14" t="str">
        <f t="shared" si="285"/>
        <v/>
      </c>
      <c r="DY607">
        <f t="shared" si="288"/>
        <v>62</v>
      </c>
      <c r="DZ607" t="str">
        <f t="shared" si="289"/>
        <v/>
      </c>
    </row>
    <row r="608" spans="1:131" customFormat="1">
      <c r="A608" s="210">
        <v>39462</v>
      </c>
      <c r="B608" s="211"/>
      <c r="C608" s="8">
        <v>1</v>
      </c>
      <c r="D608" s="59">
        <v>6</v>
      </c>
      <c r="E608" s="59">
        <v>0</v>
      </c>
      <c r="F608" s="59">
        <v>0</v>
      </c>
      <c r="G608" s="59">
        <v>0</v>
      </c>
      <c r="H608" s="59">
        <v>0</v>
      </c>
      <c r="I608" s="59">
        <v>0</v>
      </c>
      <c r="J608" s="59">
        <v>13</v>
      </c>
      <c r="K608" s="59">
        <v>0</v>
      </c>
      <c r="L608" s="59">
        <v>0</v>
      </c>
      <c r="M608" s="59">
        <v>0</v>
      </c>
      <c r="N608" s="59">
        <v>0</v>
      </c>
      <c r="O608" s="59">
        <v>1</v>
      </c>
      <c r="P608" s="59">
        <v>3</v>
      </c>
      <c r="Q608" s="59">
        <v>0</v>
      </c>
      <c r="R608" s="59">
        <v>0</v>
      </c>
      <c r="S608" s="35">
        <f t="shared" si="287"/>
        <v>24</v>
      </c>
      <c r="T608" s="59"/>
      <c r="U608" s="59">
        <v>7</v>
      </c>
      <c r="V608" s="59">
        <v>6</v>
      </c>
      <c r="W608" s="59">
        <v>0</v>
      </c>
      <c r="X608" s="62">
        <v>0</v>
      </c>
      <c r="Y608" s="10"/>
      <c r="Z608" s="61">
        <v>1824768</v>
      </c>
      <c r="AA608" s="101"/>
      <c r="AB608" s="101"/>
      <c r="AC608" s="61">
        <v>162339</v>
      </c>
      <c r="AD608" s="59"/>
      <c r="AE608" s="35">
        <f t="shared" si="284"/>
        <v>162339</v>
      </c>
      <c r="AF608" s="10"/>
      <c r="AG608" s="61">
        <v>30</v>
      </c>
      <c r="AH608" s="59">
        <v>133</v>
      </c>
      <c r="AI608" s="59">
        <v>174</v>
      </c>
      <c r="AJ608" s="62"/>
      <c r="AK608" s="10"/>
      <c r="AL608" s="8"/>
      <c r="AM608" s="10"/>
      <c r="AN608" s="35"/>
      <c r="AO608" s="279"/>
      <c r="AP608" s="279"/>
      <c r="AQ608" s="281"/>
      <c r="AR608" s="59">
        <v>134</v>
      </c>
      <c r="AS608" s="59">
        <v>66</v>
      </c>
      <c r="AT608" s="59">
        <v>121</v>
      </c>
      <c r="AU608" s="59">
        <v>16</v>
      </c>
      <c r="AV608" s="62">
        <v>243</v>
      </c>
      <c r="AW608" s="10"/>
      <c r="AX608" s="326">
        <v>39461</v>
      </c>
      <c r="AY608" s="5">
        <v>-1</v>
      </c>
      <c r="AZ608" s="10"/>
      <c r="BA608" s="61"/>
      <c r="BB608" s="59"/>
      <c r="BC608" s="59"/>
      <c r="BD608" s="59"/>
      <c r="BE608" s="59"/>
      <c r="BF608" s="59"/>
      <c r="BG608" s="59"/>
      <c r="BH608" s="351"/>
      <c r="BI608" s="59"/>
      <c r="BJ608" s="342"/>
      <c r="BK608" s="342"/>
      <c r="BL608" s="320"/>
      <c r="BM608" s="62"/>
      <c r="BN608" s="10"/>
      <c r="BO608" s="8"/>
      <c r="BP608" s="62"/>
      <c r="BQ608" s="10"/>
      <c r="BR608" s="29">
        <v>2008</v>
      </c>
      <c r="BS608" s="64">
        <v>2008</v>
      </c>
      <c r="BT608" s="14">
        <v>2</v>
      </c>
      <c r="BU608" s="10"/>
      <c r="BV608" s="8">
        <v>7</v>
      </c>
      <c r="BW608" s="59">
        <v>0</v>
      </c>
      <c r="BX608" s="59">
        <v>0</v>
      </c>
      <c r="BY608" s="59">
        <v>0</v>
      </c>
      <c r="BZ608" s="59">
        <v>0</v>
      </c>
      <c r="CA608" s="59">
        <v>1</v>
      </c>
      <c r="CB608" s="59">
        <v>0</v>
      </c>
      <c r="CC608" s="221"/>
      <c r="CD608" s="59">
        <v>2</v>
      </c>
      <c r="CE608" s="59">
        <v>0</v>
      </c>
      <c r="CF608" s="221">
        <v>0</v>
      </c>
      <c r="CG608" s="59">
        <v>0</v>
      </c>
      <c r="CH608" s="59">
        <v>0</v>
      </c>
      <c r="CI608" s="59">
        <v>0</v>
      </c>
      <c r="CJ608" s="59">
        <v>1</v>
      </c>
      <c r="CK608" s="59"/>
      <c r="CL608" s="59">
        <v>0</v>
      </c>
      <c r="CM608" s="59">
        <v>0</v>
      </c>
      <c r="CN608" s="59">
        <v>1</v>
      </c>
      <c r="CO608" s="59">
        <v>2</v>
      </c>
      <c r="CP608" s="317"/>
      <c r="CQ608" s="59">
        <v>0</v>
      </c>
      <c r="CR608" s="59"/>
      <c r="CS608" s="59">
        <v>0</v>
      </c>
      <c r="CT608" s="59">
        <v>0</v>
      </c>
      <c r="CU608" s="221">
        <v>0</v>
      </c>
      <c r="CV608" s="59">
        <v>3</v>
      </c>
      <c r="CW608" s="59">
        <v>0</v>
      </c>
      <c r="CX608" s="59">
        <v>0</v>
      </c>
      <c r="CY608" s="59">
        <v>0</v>
      </c>
      <c r="CZ608" s="59">
        <v>0</v>
      </c>
      <c r="DA608" s="59">
        <v>0</v>
      </c>
      <c r="DB608" s="59">
        <v>1</v>
      </c>
      <c r="DC608" s="59">
        <v>0</v>
      </c>
      <c r="DD608" s="59">
        <v>0</v>
      </c>
      <c r="DE608" s="59">
        <v>0</v>
      </c>
      <c r="DF608" s="59">
        <v>0</v>
      </c>
      <c r="DG608" s="59">
        <v>1</v>
      </c>
      <c r="DH608" s="59">
        <v>2</v>
      </c>
      <c r="DI608" s="59">
        <v>0</v>
      </c>
      <c r="DJ608" s="59">
        <v>0</v>
      </c>
      <c r="DK608" s="59">
        <v>0</v>
      </c>
      <c r="DL608" s="59">
        <v>0</v>
      </c>
      <c r="DM608" s="59">
        <v>0</v>
      </c>
      <c r="DN608" s="59">
        <v>0</v>
      </c>
      <c r="DO608" s="59">
        <v>1</v>
      </c>
      <c r="DP608" s="59">
        <v>0</v>
      </c>
      <c r="DQ608" s="59">
        <v>0</v>
      </c>
      <c r="DR608" s="59"/>
      <c r="DS608" s="59">
        <v>2</v>
      </c>
      <c r="DT608" s="59">
        <v>0</v>
      </c>
      <c r="DU608" s="59">
        <v>0</v>
      </c>
      <c r="DV608" s="38">
        <f t="shared" si="286"/>
        <v>24</v>
      </c>
      <c r="DW608" s="14" t="str">
        <f t="shared" si="285"/>
        <v/>
      </c>
      <c r="DY608">
        <f t="shared" si="288"/>
        <v>24</v>
      </c>
      <c r="DZ608" t="str">
        <f t="shared" si="289"/>
        <v/>
      </c>
    </row>
    <row r="609" spans="1:130" customFormat="1">
      <c r="A609" s="210">
        <v>39479</v>
      </c>
      <c r="B609" s="211"/>
      <c r="C609" s="61">
        <v>3</v>
      </c>
      <c r="D609" s="59">
        <v>23</v>
      </c>
      <c r="E609" s="59">
        <v>0</v>
      </c>
      <c r="F609" s="59">
        <v>0</v>
      </c>
      <c r="G609" s="59">
        <v>2</v>
      </c>
      <c r="H609" s="59">
        <v>1</v>
      </c>
      <c r="I609" s="59">
        <v>0</v>
      </c>
      <c r="J609" s="59">
        <v>16</v>
      </c>
      <c r="K609" s="59">
        <v>1</v>
      </c>
      <c r="L609" s="59">
        <v>0</v>
      </c>
      <c r="M609" s="59">
        <v>0</v>
      </c>
      <c r="N609" s="59">
        <v>0</v>
      </c>
      <c r="O609" s="59">
        <v>1</v>
      </c>
      <c r="P609" s="59">
        <v>0</v>
      </c>
      <c r="Q609" s="59">
        <v>0</v>
      </c>
      <c r="R609" s="59">
        <v>0</v>
      </c>
      <c r="S609" s="35">
        <f t="shared" si="287"/>
        <v>47</v>
      </c>
      <c r="T609" s="59"/>
      <c r="U609" s="59">
        <v>11</v>
      </c>
      <c r="V609" s="59">
        <v>10</v>
      </c>
      <c r="W609" s="59">
        <v>0</v>
      </c>
      <c r="X609" s="62">
        <v>0</v>
      </c>
      <c r="Y609" s="10"/>
      <c r="Z609" s="61">
        <v>1021952</v>
      </c>
      <c r="AA609" s="101"/>
      <c r="AB609" s="101"/>
      <c r="AC609" s="61">
        <v>447872</v>
      </c>
      <c r="AD609" s="59"/>
      <c r="AE609" s="35">
        <f t="shared" si="284"/>
        <v>447872</v>
      </c>
      <c r="AF609" s="10"/>
      <c r="AG609" s="61">
        <v>78</v>
      </c>
      <c r="AH609" s="59">
        <v>10</v>
      </c>
      <c r="AI609" s="59">
        <v>100</v>
      </c>
      <c r="AJ609" s="62"/>
      <c r="AK609" s="10"/>
      <c r="AL609" s="8"/>
      <c r="AM609" s="10"/>
      <c r="AN609" s="35"/>
      <c r="AO609" s="279"/>
      <c r="AP609" s="279"/>
      <c r="AQ609" s="281"/>
      <c r="AR609" s="59">
        <v>135</v>
      </c>
      <c r="AS609" s="59">
        <v>65</v>
      </c>
      <c r="AT609" s="59">
        <v>120</v>
      </c>
      <c r="AU609" s="59">
        <v>16</v>
      </c>
      <c r="AV609" s="62">
        <v>240</v>
      </c>
      <c r="AW609" s="10"/>
      <c r="AX609" s="326">
        <v>39477</v>
      </c>
      <c r="AY609" s="5">
        <v>-2</v>
      </c>
      <c r="AZ609" s="10"/>
      <c r="BA609" s="61">
        <v>1873</v>
      </c>
      <c r="BB609" s="59">
        <v>51241271</v>
      </c>
      <c r="BC609" s="59"/>
      <c r="BD609" s="59"/>
      <c r="BE609" s="59">
        <v>48</v>
      </c>
      <c r="BF609" s="59">
        <v>2</v>
      </c>
      <c r="BG609" s="59">
        <v>2</v>
      </c>
      <c r="BH609" s="351"/>
      <c r="BI609" s="59">
        <v>1576735</v>
      </c>
      <c r="BJ609" s="342">
        <v>39488</v>
      </c>
      <c r="BK609" s="342">
        <v>39498</v>
      </c>
      <c r="BL609" s="320">
        <f>BK609-BJ609</f>
        <v>10</v>
      </c>
      <c r="BM609" s="62"/>
      <c r="BN609" s="10"/>
      <c r="BO609" s="8"/>
      <c r="BP609" s="62">
        <v>161</v>
      </c>
      <c r="BQ609" s="10"/>
      <c r="BR609" s="29">
        <v>2008</v>
      </c>
      <c r="BS609" s="64">
        <v>2008</v>
      </c>
      <c r="BT609" s="14">
        <v>3</v>
      </c>
      <c r="BU609" s="10"/>
      <c r="BV609" s="8">
        <v>0</v>
      </c>
      <c r="BW609" s="59">
        <v>1</v>
      </c>
      <c r="BX609" s="59">
        <v>0</v>
      </c>
      <c r="BY609" s="59">
        <v>0</v>
      </c>
      <c r="BZ609" s="59">
        <v>0</v>
      </c>
      <c r="CA609" s="59">
        <v>0</v>
      </c>
      <c r="CB609" s="59">
        <v>0</v>
      </c>
      <c r="CC609" s="221"/>
      <c r="CD609" s="59">
        <v>2</v>
      </c>
      <c r="CE609" s="59">
        <v>1</v>
      </c>
      <c r="CF609" s="221">
        <v>0</v>
      </c>
      <c r="CG609" s="59">
        <v>0</v>
      </c>
      <c r="CH609" s="59">
        <v>0</v>
      </c>
      <c r="CI609" s="59">
        <v>11</v>
      </c>
      <c r="CJ609" s="59">
        <v>7</v>
      </c>
      <c r="CK609" s="59"/>
      <c r="CL609" s="59">
        <v>0</v>
      </c>
      <c r="CM609" s="59">
        <v>0</v>
      </c>
      <c r="CN609" s="59">
        <v>0</v>
      </c>
      <c r="CO609" s="59">
        <v>2</v>
      </c>
      <c r="CP609" s="317"/>
      <c r="CQ609" s="59">
        <v>0</v>
      </c>
      <c r="CR609" s="59"/>
      <c r="CS609" s="59">
        <v>0</v>
      </c>
      <c r="CT609" s="59">
        <v>3</v>
      </c>
      <c r="CU609" s="221">
        <v>0</v>
      </c>
      <c r="CV609" s="59">
        <v>3</v>
      </c>
      <c r="CW609" s="59">
        <v>0</v>
      </c>
      <c r="CX609" s="59">
        <v>0</v>
      </c>
      <c r="CY609" s="59">
        <v>1</v>
      </c>
      <c r="CZ609" s="59">
        <v>0</v>
      </c>
      <c r="DA609" s="59">
        <v>0</v>
      </c>
      <c r="DB609" s="59">
        <v>9</v>
      </c>
      <c r="DC609" s="59">
        <v>0</v>
      </c>
      <c r="DD609" s="59">
        <v>0</v>
      </c>
      <c r="DE609" s="59">
        <v>0</v>
      </c>
      <c r="DF609" s="59">
        <v>0</v>
      </c>
      <c r="DG609" s="59">
        <v>5</v>
      </c>
      <c r="DH609" s="59">
        <v>0</v>
      </c>
      <c r="DI609" s="59">
        <v>0</v>
      </c>
      <c r="DJ609" s="59">
        <v>0</v>
      </c>
      <c r="DK609" s="59">
        <v>0</v>
      </c>
      <c r="DL609" s="59">
        <v>0</v>
      </c>
      <c r="DM609" s="59">
        <v>2</v>
      </c>
      <c r="DN609" s="59">
        <v>0</v>
      </c>
      <c r="DO609" s="59">
        <v>0</v>
      </c>
      <c r="DP609" s="59">
        <v>0</v>
      </c>
      <c r="DQ609" s="59">
        <v>0</v>
      </c>
      <c r="DR609" s="59"/>
      <c r="DS609" s="59">
        <v>0</v>
      </c>
      <c r="DT609" s="59">
        <v>0</v>
      </c>
      <c r="DU609" s="59">
        <v>0</v>
      </c>
      <c r="DV609" s="38">
        <f t="shared" si="286"/>
        <v>47</v>
      </c>
      <c r="DW609" s="14" t="str">
        <f t="shared" si="285"/>
        <v/>
      </c>
      <c r="DY609">
        <f t="shared" si="288"/>
        <v>47</v>
      </c>
      <c r="DZ609" t="str">
        <f t="shared" si="289"/>
        <v/>
      </c>
    </row>
    <row r="610" spans="1:130" customFormat="1">
      <c r="A610" s="210">
        <v>39493</v>
      </c>
      <c r="B610" s="211"/>
      <c r="C610" s="61">
        <v>0</v>
      </c>
      <c r="D610" s="59">
        <v>12</v>
      </c>
      <c r="E610" s="59">
        <v>0</v>
      </c>
      <c r="F610" s="59">
        <v>0</v>
      </c>
      <c r="G610" s="59">
        <v>1</v>
      </c>
      <c r="H610" s="59">
        <v>1</v>
      </c>
      <c r="I610" s="59">
        <v>0</v>
      </c>
      <c r="J610" s="59">
        <v>12</v>
      </c>
      <c r="K610" s="59">
        <v>3</v>
      </c>
      <c r="L610" s="59">
        <v>0</v>
      </c>
      <c r="M610" s="59">
        <v>0</v>
      </c>
      <c r="N610" s="59">
        <v>0</v>
      </c>
      <c r="O610" s="59">
        <v>1</v>
      </c>
      <c r="P610" s="59">
        <v>0</v>
      </c>
      <c r="Q610" s="59">
        <v>1</v>
      </c>
      <c r="R610" s="59">
        <v>0</v>
      </c>
      <c r="S610" s="35">
        <f t="shared" si="287"/>
        <v>31</v>
      </c>
      <c r="T610" s="59"/>
      <c r="U610" s="59">
        <v>6</v>
      </c>
      <c r="V610" s="59">
        <v>6</v>
      </c>
      <c r="W610" s="59">
        <v>0</v>
      </c>
      <c r="X610" s="62">
        <v>0</v>
      </c>
      <c r="Y610" s="10"/>
      <c r="Z610" s="61">
        <v>949760</v>
      </c>
      <c r="AA610" s="101"/>
      <c r="AB610" s="101"/>
      <c r="AC610" s="61">
        <v>326691</v>
      </c>
      <c r="AD610" s="59"/>
      <c r="AE610" s="35">
        <f t="shared" si="284"/>
        <v>326691</v>
      </c>
      <c r="AF610" s="10"/>
      <c r="AG610" s="61">
        <v>44</v>
      </c>
      <c r="AH610" s="59">
        <v>18</v>
      </c>
      <c r="AI610" s="59">
        <v>74</v>
      </c>
      <c r="AJ610" s="62"/>
      <c r="AK610" s="10"/>
      <c r="AL610" s="8"/>
      <c r="AM610" s="10"/>
      <c r="AN610" s="35"/>
      <c r="AO610" s="279"/>
      <c r="AP610" s="279"/>
      <c r="AQ610" s="281"/>
      <c r="AR610" s="59">
        <v>134</v>
      </c>
      <c r="AS610" s="59"/>
      <c r="AT610" s="59"/>
      <c r="AU610" s="59"/>
      <c r="AV610" s="62"/>
      <c r="AW610" s="10"/>
      <c r="AX610" s="326">
        <v>39491</v>
      </c>
      <c r="AY610" s="5">
        <v>-2</v>
      </c>
      <c r="AZ610" s="10"/>
      <c r="BA610" s="61"/>
      <c r="BB610" s="59"/>
      <c r="BC610" s="59"/>
      <c r="BD610" s="59"/>
      <c r="BE610" s="59"/>
      <c r="BF610" s="59"/>
      <c r="BG610" s="62"/>
      <c r="BH610" s="62"/>
      <c r="BI610" s="59"/>
      <c r="BJ610" s="342"/>
      <c r="BK610" s="342"/>
      <c r="BL610" s="320"/>
      <c r="BM610" s="62"/>
      <c r="BN610" s="10"/>
      <c r="BO610" s="8"/>
      <c r="BP610" s="62"/>
      <c r="BQ610" s="10"/>
      <c r="BR610" s="29">
        <v>2008</v>
      </c>
      <c r="BS610" s="64">
        <v>2008</v>
      </c>
      <c r="BT610" s="14">
        <v>4</v>
      </c>
      <c r="BU610" s="10"/>
      <c r="BV610" s="8">
        <v>0</v>
      </c>
      <c r="BW610" s="59">
        <v>0</v>
      </c>
      <c r="BX610" s="59">
        <v>0</v>
      </c>
      <c r="BY610" s="59">
        <v>0</v>
      </c>
      <c r="BZ610" s="59">
        <v>0</v>
      </c>
      <c r="CA610" s="59">
        <v>0</v>
      </c>
      <c r="CB610" s="59">
        <v>0</v>
      </c>
      <c r="CC610" s="221"/>
      <c r="CD610" s="59">
        <v>2</v>
      </c>
      <c r="CE610" s="59">
        <v>0</v>
      </c>
      <c r="CF610" s="221">
        <v>0</v>
      </c>
      <c r="CG610" s="59">
        <v>0</v>
      </c>
      <c r="CH610" s="59">
        <v>0</v>
      </c>
      <c r="CI610" s="59">
        <v>1</v>
      </c>
      <c r="CJ610" s="59">
        <v>1</v>
      </c>
      <c r="CK610" s="59"/>
      <c r="CL610" s="59">
        <v>0</v>
      </c>
      <c r="CM610" s="59">
        <v>0</v>
      </c>
      <c r="CN610" s="59">
        <v>0</v>
      </c>
      <c r="CO610" s="59">
        <v>12</v>
      </c>
      <c r="CP610" s="317"/>
      <c r="CQ610" s="59">
        <v>0</v>
      </c>
      <c r="CR610" s="59"/>
      <c r="CS610" s="59">
        <v>0</v>
      </c>
      <c r="CT610" s="59">
        <v>2</v>
      </c>
      <c r="CU610" s="221">
        <v>0</v>
      </c>
      <c r="CV610" s="59">
        <v>0</v>
      </c>
      <c r="CW610" s="59">
        <v>0</v>
      </c>
      <c r="CX610" s="59">
        <v>0</v>
      </c>
      <c r="CY610" s="59">
        <v>3</v>
      </c>
      <c r="CZ610" s="59">
        <v>0</v>
      </c>
      <c r="DA610" s="59">
        <v>0</v>
      </c>
      <c r="DB610" s="59">
        <v>6</v>
      </c>
      <c r="DC610" s="59">
        <v>0</v>
      </c>
      <c r="DD610" s="59">
        <v>0</v>
      </c>
      <c r="DE610" s="59">
        <v>0</v>
      </c>
      <c r="DF610" s="59">
        <v>0</v>
      </c>
      <c r="DG610" s="59">
        <v>3</v>
      </c>
      <c r="DH610" s="59">
        <v>0</v>
      </c>
      <c r="DI610" s="59">
        <v>0</v>
      </c>
      <c r="DJ610" s="59">
        <v>0</v>
      </c>
      <c r="DK610" s="59">
        <v>0</v>
      </c>
      <c r="DL610" s="59">
        <v>0</v>
      </c>
      <c r="DM610" s="59">
        <v>1</v>
      </c>
      <c r="DN610" s="59">
        <v>0</v>
      </c>
      <c r="DO610" s="59">
        <v>0</v>
      </c>
      <c r="DP610" s="59">
        <v>0</v>
      </c>
      <c r="DQ610" s="59">
        <v>0</v>
      </c>
      <c r="DR610" s="59"/>
      <c r="DS610" s="59">
        <v>0</v>
      </c>
      <c r="DT610" s="59">
        <v>0</v>
      </c>
      <c r="DU610" s="59">
        <v>0</v>
      </c>
      <c r="DV610" s="38">
        <f t="shared" si="286"/>
        <v>31</v>
      </c>
      <c r="DW610" s="14" t="str">
        <f t="shared" si="285"/>
        <v/>
      </c>
      <c r="DY610">
        <f t="shared" si="288"/>
        <v>31</v>
      </c>
      <c r="DZ610" t="str">
        <f t="shared" si="289"/>
        <v/>
      </c>
    </row>
    <row r="611" spans="1:130" customFormat="1">
      <c r="A611" s="210">
        <v>39508</v>
      </c>
      <c r="B611" s="211"/>
      <c r="C611" s="61">
        <v>1</v>
      </c>
      <c r="D611" s="59">
        <v>13</v>
      </c>
      <c r="E611" s="59">
        <v>1</v>
      </c>
      <c r="F611" s="59">
        <v>0</v>
      </c>
      <c r="G611" s="59">
        <v>1</v>
      </c>
      <c r="H611" s="59">
        <v>1</v>
      </c>
      <c r="I611" s="59">
        <v>0</v>
      </c>
      <c r="J611" s="59">
        <v>41</v>
      </c>
      <c r="K611" s="59">
        <v>0</v>
      </c>
      <c r="L611" s="59">
        <v>0</v>
      </c>
      <c r="M611" s="59">
        <v>0</v>
      </c>
      <c r="N611" s="59">
        <v>0</v>
      </c>
      <c r="O611" s="59">
        <v>4</v>
      </c>
      <c r="P611" s="59">
        <v>2</v>
      </c>
      <c r="Q611" s="59">
        <v>1</v>
      </c>
      <c r="R611" s="59">
        <v>0</v>
      </c>
      <c r="S611" s="35">
        <f t="shared" si="287"/>
        <v>65</v>
      </c>
      <c r="T611" s="59"/>
      <c r="U611" s="59">
        <v>21</v>
      </c>
      <c r="V611" s="59">
        <v>19</v>
      </c>
      <c r="W611" s="59">
        <v>0</v>
      </c>
      <c r="X611" s="62">
        <v>0</v>
      </c>
      <c r="Y611" s="10"/>
      <c r="Z611" s="61">
        <v>1222144</v>
      </c>
      <c r="AA611" s="101"/>
      <c r="AB611" s="101"/>
      <c r="AC611" s="61">
        <v>263944</v>
      </c>
      <c r="AD611" s="59"/>
      <c r="AE611" s="35">
        <f t="shared" si="284"/>
        <v>263944</v>
      </c>
      <c r="AF611" s="10"/>
      <c r="AG611" s="61">
        <v>58</v>
      </c>
      <c r="AH611" s="59">
        <v>22</v>
      </c>
      <c r="AI611" s="59">
        <v>92</v>
      </c>
      <c r="AJ611" s="62"/>
      <c r="AK611" s="10"/>
      <c r="AL611" s="8"/>
      <c r="AM611" s="10"/>
      <c r="AN611" s="35"/>
      <c r="AO611" s="279"/>
      <c r="AP611" s="279"/>
      <c r="AQ611" s="281"/>
      <c r="AR611" s="59">
        <v>134</v>
      </c>
      <c r="AS611" s="59"/>
      <c r="AT611" s="59"/>
      <c r="AU611" s="59"/>
      <c r="AV611" s="62"/>
      <c r="AW611" s="10"/>
      <c r="AX611" s="326">
        <v>39506</v>
      </c>
      <c r="AY611" s="5">
        <v>-2</v>
      </c>
      <c r="AZ611" s="10"/>
      <c r="BA611" s="8">
        <v>1875</v>
      </c>
      <c r="BB611" s="356">
        <v>51496924</v>
      </c>
      <c r="BC611" s="356"/>
      <c r="BD611" s="356"/>
      <c r="BE611" s="356">
        <v>72</v>
      </c>
      <c r="BF611" s="356">
        <v>4</v>
      </c>
      <c r="BG611" s="5">
        <v>2</v>
      </c>
      <c r="BH611" s="5"/>
      <c r="BI611" s="356">
        <v>3620176</v>
      </c>
      <c r="BJ611" s="327">
        <v>39517</v>
      </c>
      <c r="BK611" s="342">
        <v>39525</v>
      </c>
      <c r="BL611" s="320">
        <f>BK611-BJ611</f>
        <v>8</v>
      </c>
      <c r="BM611" s="62"/>
      <c r="BN611" s="10"/>
      <c r="BO611" s="8"/>
      <c r="BP611" s="5">
        <v>161</v>
      </c>
      <c r="BQ611" s="10"/>
      <c r="BR611" s="29">
        <v>2008</v>
      </c>
      <c r="BS611" s="64">
        <v>2008</v>
      </c>
      <c r="BT611" s="14">
        <v>5</v>
      </c>
      <c r="BU611" s="10"/>
      <c r="BV611" s="8">
        <v>1</v>
      </c>
      <c r="BW611" s="59">
        <v>4</v>
      </c>
      <c r="BX611" s="59">
        <v>0</v>
      </c>
      <c r="BY611" s="59">
        <v>0</v>
      </c>
      <c r="BZ611" s="59">
        <v>0</v>
      </c>
      <c r="CA611" s="59">
        <v>0</v>
      </c>
      <c r="CB611" s="59">
        <v>0</v>
      </c>
      <c r="CC611" s="221"/>
      <c r="CD611" s="59">
        <v>7</v>
      </c>
      <c r="CE611" s="59">
        <v>0</v>
      </c>
      <c r="CF611" s="221">
        <v>0</v>
      </c>
      <c r="CG611" s="59">
        <v>2</v>
      </c>
      <c r="CH611" s="59">
        <v>0</v>
      </c>
      <c r="CI611" s="59">
        <v>4</v>
      </c>
      <c r="CJ611" s="59">
        <v>33</v>
      </c>
      <c r="CK611" s="59"/>
      <c r="CL611" s="59">
        <v>0</v>
      </c>
      <c r="CM611" s="59">
        <v>0</v>
      </c>
      <c r="CN611" s="59">
        <v>0</v>
      </c>
      <c r="CO611" s="59">
        <v>5</v>
      </c>
      <c r="CP611" s="317"/>
      <c r="CQ611" s="59">
        <v>0</v>
      </c>
      <c r="CR611" s="59"/>
      <c r="CS611" s="59">
        <v>0</v>
      </c>
      <c r="CT611" s="59">
        <v>3</v>
      </c>
      <c r="CU611" s="221">
        <v>0</v>
      </c>
      <c r="CV611" s="59">
        <v>1</v>
      </c>
      <c r="CW611" s="59">
        <v>0</v>
      </c>
      <c r="CX611" s="59">
        <v>0</v>
      </c>
      <c r="CY611" s="59">
        <v>0</v>
      </c>
      <c r="CZ611" s="59">
        <v>0</v>
      </c>
      <c r="DA611" s="59">
        <v>0</v>
      </c>
      <c r="DB611" s="59">
        <v>2</v>
      </c>
      <c r="DC611" s="59">
        <v>1</v>
      </c>
      <c r="DD611" s="59">
        <v>1</v>
      </c>
      <c r="DE611" s="59">
        <v>0</v>
      </c>
      <c r="DF611" s="59">
        <v>0</v>
      </c>
      <c r="DG611" s="59">
        <v>0</v>
      </c>
      <c r="DH611" s="59">
        <v>0</v>
      </c>
      <c r="DI611" s="59">
        <v>1</v>
      </c>
      <c r="DJ611" s="59">
        <v>0</v>
      </c>
      <c r="DK611" s="59">
        <v>0</v>
      </c>
      <c r="DL611" s="59">
        <v>0</v>
      </c>
      <c r="DM611" s="59">
        <v>0</v>
      </c>
      <c r="DN611" s="59">
        <v>0</v>
      </c>
      <c r="DO611" s="59">
        <v>0</v>
      </c>
      <c r="DP611" s="59">
        <v>0</v>
      </c>
      <c r="DQ611" s="59">
        <v>0</v>
      </c>
      <c r="DR611" s="59"/>
      <c r="DS611" s="59">
        <v>0</v>
      </c>
      <c r="DT611" s="59">
        <v>0</v>
      </c>
      <c r="DU611" s="59">
        <v>0</v>
      </c>
      <c r="DV611" s="38">
        <f t="shared" si="286"/>
        <v>65</v>
      </c>
      <c r="DW611" s="14" t="str">
        <f t="shared" si="285"/>
        <v/>
      </c>
      <c r="DY611">
        <f t="shared" si="288"/>
        <v>65</v>
      </c>
      <c r="DZ611" t="str">
        <f t="shared" si="289"/>
        <v/>
      </c>
    </row>
    <row r="612" spans="1:130" customFormat="1">
      <c r="A612" s="210">
        <v>39522</v>
      </c>
      <c r="B612" s="211"/>
      <c r="C612" s="61">
        <v>1</v>
      </c>
      <c r="D612" s="59">
        <v>10</v>
      </c>
      <c r="E612" s="59">
        <v>3</v>
      </c>
      <c r="F612" s="59">
        <v>0</v>
      </c>
      <c r="G612" s="59">
        <v>0</v>
      </c>
      <c r="H612" s="59">
        <v>0</v>
      </c>
      <c r="I612" s="59">
        <v>0</v>
      </c>
      <c r="J612" s="59">
        <v>3</v>
      </c>
      <c r="K612" s="59">
        <v>2</v>
      </c>
      <c r="L612" s="59">
        <v>0</v>
      </c>
      <c r="M612" s="59">
        <v>0</v>
      </c>
      <c r="N612" s="59">
        <v>0</v>
      </c>
      <c r="O612" s="59">
        <v>1</v>
      </c>
      <c r="P612" s="59">
        <v>2</v>
      </c>
      <c r="Q612" s="59">
        <v>0</v>
      </c>
      <c r="R612" s="59">
        <v>0</v>
      </c>
      <c r="S612" s="35">
        <f t="shared" si="287"/>
        <v>22</v>
      </c>
      <c r="T612" s="59"/>
      <c r="U612" s="59">
        <v>22</v>
      </c>
      <c r="V612" s="59">
        <v>12</v>
      </c>
      <c r="W612" s="59">
        <v>0</v>
      </c>
      <c r="X612" s="62">
        <v>0</v>
      </c>
      <c r="Y612" s="10"/>
      <c r="Z612" s="61">
        <v>1057792</v>
      </c>
      <c r="AA612" s="101"/>
      <c r="AB612" s="101"/>
      <c r="AC612" s="61">
        <v>147186</v>
      </c>
      <c r="AD612" s="59"/>
      <c r="AE612" s="35">
        <f t="shared" si="284"/>
        <v>147186</v>
      </c>
      <c r="AF612" s="10"/>
      <c r="AG612" s="61">
        <v>25</v>
      </c>
      <c r="AH612" s="59">
        <v>28</v>
      </c>
      <c r="AI612" s="59">
        <v>62</v>
      </c>
      <c r="AJ612" s="62"/>
      <c r="AK612" s="10"/>
      <c r="AL612" s="8"/>
      <c r="AM612" s="10"/>
      <c r="AN612" s="35"/>
      <c r="AO612" s="279"/>
      <c r="AP612" s="279"/>
      <c r="AQ612" s="281"/>
      <c r="AR612" s="59">
        <v>136</v>
      </c>
      <c r="AS612" s="59">
        <v>45</v>
      </c>
      <c r="AT612" s="59">
        <v>88</v>
      </c>
      <c r="AU612" s="59">
        <v>16</v>
      </c>
      <c r="AV612" s="62">
        <v>177</v>
      </c>
      <c r="AW612" s="10"/>
      <c r="AX612" s="326">
        <v>39520</v>
      </c>
      <c r="AY612" s="5">
        <v>-2</v>
      </c>
      <c r="AZ612" s="10"/>
      <c r="BA612" s="8"/>
      <c r="BB612" s="356"/>
      <c r="BC612" s="356"/>
      <c r="BD612" s="356"/>
      <c r="BE612" s="356"/>
      <c r="BF612" s="356"/>
      <c r="BG612" s="5"/>
      <c r="BH612" s="5"/>
      <c r="BI612" s="356"/>
      <c r="BJ612" s="327"/>
      <c r="BK612" s="327"/>
      <c r="BL612" s="320"/>
      <c r="BM612" s="62"/>
      <c r="BN612" s="10"/>
      <c r="BO612" s="8"/>
      <c r="BP612" s="5"/>
      <c r="BQ612" s="10"/>
      <c r="BR612" s="29">
        <v>2008</v>
      </c>
      <c r="BS612" s="64">
        <v>2008</v>
      </c>
      <c r="BT612" s="14">
        <v>6</v>
      </c>
      <c r="BU612" s="10"/>
      <c r="BV612" s="8">
        <v>0</v>
      </c>
      <c r="BW612" s="59">
        <v>0</v>
      </c>
      <c r="BX612" s="59">
        <v>0</v>
      </c>
      <c r="BY612" s="59">
        <v>0</v>
      </c>
      <c r="BZ612" s="59">
        <v>0</v>
      </c>
      <c r="CA612" s="59">
        <v>0</v>
      </c>
      <c r="CB612" s="59">
        <v>0</v>
      </c>
      <c r="CC612" s="221"/>
      <c r="CD612" s="59">
        <v>0</v>
      </c>
      <c r="CE612" s="59">
        <v>0</v>
      </c>
      <c r="CF612" s="221">
        <v>0</v>
      </c>
      <c r="CG612" s="59">
        <v>0</v>
      </c>
      <c r="CH612" s="59">
        <v>3</v>
      </c>
      <c r="CI612" s="59">
        <v>2</v>
      </c>
      <c r="CJ612" s="59">
        <v>0</v>
      </c>
      <c r="CK612" s="59"/>
      <c r="CL612" s="59">
        <v>0</v>
      </c>
      <c r="CM612" s="59">
        <v>0</v>
      </c>
      <c r="CN612" s="59">
        <v>0</v>
      </c>
      <c r="CO612" s="59">
        <v>2</v>
      </c>
      <c r="CP612" s="317"/>
      <c r="CQ612" s="59">
        <v>0</v>
      </c>
      <c r="CR612" s="59"/>
      <c r="CS612" s="59">
        <v>0</v>
      </c>
      <c r="CT612" s="59">
        <v>5</v>
      </c>
      <c r="CU612" s="221">
        <v>0</v>
      </c>
      <c r="CV612" s="59">
        <v>1</v>
      </c>
      <c r="CW612" s="59">
        <v>0</v>
      </c>
      <c r="CX612" s="59">
        <v>0</v>
      </c>
      <c r="CY612" s="59">
        <v>0</v>
      </c>
      <c r="CZ612" s="59">
        <v>0</v>
      </c>
      <c r="DA612" s="59">
        <v>0</v>
      </c>
      <c r="DB612" s="59">
        <v>0</v>
      </c>
      <c r="DC612" s="59">
        <v>0</v>
      </c>
      <c r="DD612" s="59">
        <v>1</v>
      </c>
      <c r="DE612" s="59">
        <v>0</v>
      </c>
      <c r="DF612" s="59">
        <v>0</v>
      </c>
      <c r="DG612" s="59">
        <v>0</v>
      </c>
      <c r="DH612" s="59">
        <v>0</v>
      </c>
      <c r="DI612" s="59">
        <v>0</v>
      </c>
      <c r="DJ612" s="59">
        <v>0</v>
      </c>
      <c r="DK612" s="59">
        <v>0</v>
      </c>
      <c r="DL612" s="59">
        <v>2</v>
      </c>
      <c r="DM612" s="59">
        <v>0</v>
      </c>
      <c r="DN612" s="59">
        <v>0</v>
      </c>
      <c r="DO612" s="59">
        <v>2</v>
      </c>
      <c r="DP612" s="59">
        <v>0</v>
      </c>
      <c r="DQ612" s="59">
        <v>0</v>
      </c>
      <c r="DR612" s="59"/>
      <c r="DS612" s="59">
        <v>4</v>
      </c>
      <c r="DT612" s="59">
        <v>0</v>
      </c>
      <c r="DU612" s="59">
        <v>0</v>
      </c>
      <c r="DV612" s="38">
        <f t="shared" si="286"/>
        <v>22</v>
      </c>
      <c r="DW612" s="14" t="str">
        <f t="shared" si="285"/>
        <v/>
      </c>
      <c r="DY612">
        <f t="shared" si="288"/>
        <v>22</v>
      </c>
      <c r="DZ612" t="str">
        <f t="shared" si="289"/>
        <v/>
      </c>
    </row>
    <row r="613" spans="1:130" customFormat="1">
      <c r="A613" s="210">
        <v>39539</v>
      </c>
      <c r="B613" s="211"/>
      <c r="C613" s="61">
        <v>1</v>
      </c>
      <c r="D613" s="59">
        <v>10</v>
      </c>
      <c r="E613" s="59">
        <v>0</v>
      </c>
      <c r="F613" s="59">
        <v>2</v>
      </c>
      <c r="G613" s="59">
        <v>2</v>
      </c>
      <c r="H613" s="59">
        <v>0</v>
      </c>
      <c r="I613" s="59">
        <v>0</v>
      </c>
      <c r="J613" s="59">
        <v>11</v>
      </c>
      <c r="K613" s="59">
        <v>0</v>
      </c>
      <c r="L613" s="59">
        <v>0</v>
      </c>
      <c r="M613" s="59">
        <v>0</v>
      </c>
      <c r="N613" s="59">
        <v>0</v>
      </c>
      <c r="O613" s="59">
        <v>3</v>
      </c>
      <c r="P613" s="59">
        <v>1</v>
      </c>
      <c r="Q613" s="59">
        <v>0</v>
      </c>
      <c r="R613" s="59">
        <v>0</v>
      </c>
      <c r="S613" s="35">
        <f t="shared" si="287"/>
        <v>30</v>
      </c>
      <c r="T613" s="59"/>
      <c r="U613" s="59">
        <v>13</v>
      </c>
      <c r="V613" s="59">
        <v>10</v>
      </c>
      <c r="W613" s="59">
        <v>0</v>
      </c>
      <c r="X613" s="62">
        <v>0</v>
      </c>
      <c r="Y613" s="10"/>
      <c r="Z613" s="61">
        <v>1473536</v>
      </c>
      <c r="AA613" s="101"/>
      <c r="AB613" s="101"/>
      <c r="AC613" s="61">
        <v>427473</v>
      </c>
      <c r="AD613" s="59"/>
      <c r="AE613" s="35">
        <f t="shared" si="284"/>
        <v>427473</v>
      </c>
      <c r="AF613" s="10"/>
      <c r="AG613" s="61">
        <v>63</v>
      </c>
      <c r="AH613" s="59">
        <v>31</v>
      </c>
      <c r="AI613" s="59">
        <v>104</v>
      </c>
      <c r="AJ613" s="62"/>
      <c r="AK613" s="10"/>
      <c r="AL613" s="8">
        <v>0</v>
      </c>
      <c r="AM613" s="59">
        <v>44</v>
      </c>
      <c r="AN613" s="35">
        <f>SUM(AL613:AM613)</f>
        <v>44</v>
      </c>
      <c r="AO613" s="279"/>
      <c r="AP613" s="279"/>
      <c r="AQ613" s="281"/>
      <c r="AR613" s="59">
        <v>138</v>
      </c>
      <c r="AS613" s="59">
        <v>49</v>
      </c>
      <c r="AT613" s="59">
        <v>87</v>
      </c>
      <c r="AU613" s="59">
        <v>16</v>
      </c>
      <c r="AV613" s="62">
        <v>179</v>
      </c>
      <c r="AW613" s="10"/>
      <c r="AX613" s="326">
        <v>39538</v>
      </c>
      <c r="AY613" s="5">
        <v>-1</v>
      </c>
      <c r="AZ613" s="10"/>
      <c r="BA613" s="8">
        <v>1875</v>
      </c>
      <c r="BB613" s="356">
        <v>51910480</v>
      </c>
      <c r="BC613" s="356"/>
      <c r="BD613" s="356"/>
      <c r="BE613" s="356">
        <v>67</v>
      </c>
      <c r="BF613" s="356">
        <v>4</v>
      </c>
      <c r="BG613" s="5">
        <v>4</v>
      </c>
      <c r="BH613" s="5"/>
      <c r="BI613" s="356">
        <v>3717506</v>
      </c>
      <c r="BJ613" s="327">
        <v>39548</v>
      </c>
      <c r="BK613" s="344">
        <v>39568</v>
      </c>
      <c r="BL613" s="320">
        <f>BK613-BJ613</f>
        <v>20</v>
      </c>
      <c r="BM613" s="62"/>
      <c r="BN613" s="10"/>
      <c r="BO613" s="8"/>
      <c r="BP613" s="5">
        <v>161</v>
      </c>
      <c r="BQ613" s="10"/>
      <c r="BR613" s="29">
        <v>2008</v>
      </c>
      <c r="BS613" s="64">
        <v>2008</v>
      </c>
      <c r="BT613" s="14">
        <v>7</v>
      </c>
      <c r="BU613" s="10"/>
      <c r="BV613" s="8">
        <v>1</v>
      </c>
      <c r="BW613" s="59">
        <v>0</v>
      </c>
      <c r="BX613" s="59">
        <v>0</v>
      </c>
      <c r="BY613" s="59">
        <v>0</v>
      </c>
      <c r="BZ613" s="59">
        <v>0</v>
      </c>
      <c r="CA613" s="59">
        <v>0</v>
      </c>
      <c r="CB613" s="59">
        <v>0</v>
      </c>
      <c r="CC613" s="221"/>
      <c r="CD613" s="59">
        <v>2</v>
      </c>
      <c r="CE613" s="59">
        <v>0</v>
      </c>
      <c r="CF613" s="221">
        <v>0</v>
      </c>
      <c r="CG613" s="59">
        <v>0</v>
      </c>
      <c r="CH613" s="59">
        <v>0</v>
      </c>
      <c r="CI613" s="59">
        <v>8</v>
      </c>
      <c r="CJ613" s="59">
        <v>0</v>
      </c>
      <c r="CK613" s="59"/>
      <c r="CL613" s="59">
        <v>0</v>
      </c>
      <c r="CM613" s="59">
        <v>0</v>
      </c>
      <c r="CN613" s="59">
        <v>0</v>
      </c>
      <c r="CO613" s="59">
        <v>4</v>
      </c>
      <c r="CP613" s="317"/>
      <c r="CQ613" s="59">
        <v>0</v>
      </c>
      <c r="CR613" s="59"/>
      <c r="CS613" s="59">
        <v>0</v>
      </c>
      <c r="CT613" s="59">
        <v>3</v>
      </c>
      <c r="CU613" s="221">
        <v>0</v>
      </c>
      <c r="CV613" s="59">
        <v>2</v>
      </c>
      <c r="CW613" s="59">
        <v>0</v>
      </c>
      <c r="CX613" s="59">
        <v>0</v>
      </c>
      <c r="CY613" s="59">
        <v>0</v>
      </c>
      <c r="CZ613" s="59">
        <v>0</v>
      </c>
      <c r="DA613" s="59">
        <v>0</v>
      </c>
      <c r="DB613" s="59">
        <v>7</v>
      </c>
      <c r="DC613" s="59">
        <v>0</v>
      </c>
      <c r="DD613" s="59">
        <v>0</v>
      </c>
      <c r="DE613" s="59">
        <v>0</v>
      </c>
      <c r="DF613" s="59">
        <v>0</v>
      </c>
      <c r="DG613" s="59">
        <v>0</v>
      </c>
      <c r="DH613" s="59">
        <v>2</v>
      </c>
      <c r="DI613" s="59">
        <v>0</v>
      </c>
      <c r="DJ613" s="59">
        <v>0</v>
      </c>
      <c r="DK613" s="59">
        <v>0</v>
      </c>
      <c r="DL613" s="59">
        <v>0</v>
      </c>
      <c r="DM613" s="59">
        <v>0</v>
      </c>
      <c r="DN613" s="59">
        <v>0</v>
      </c>
      <c r="DO613" s="59">
        <v>0</v>
      </c>
      <c r="DP613" s="59">
        <v>0</v>
      </c>
      <c r="DQ613" s="59">
        <v>0</v>
      </c>
      <c r="DR613" s="59"/>
      <c r="DS613" s="59">
        <v>1</v>
      </c>
      <c r="DT613" s="59">
        <v>0</v>
      </c>
      <c r="DU613" s="59">
        <v>0</v>
      </c>
      <c r="DV613" s="38">
        <f t="shared" si="286"/>
        <v>30</v>
      </c>
      <c r="DW613" s="14" t="str">
        <f t="shared" si="285"/>
        <v/>
      </c>
      <c r="DY613">
        <f t="shared" si="288"/>
        <v>30</v>
      </c>
      <c r="DZ613" t="str">
        <f t="shared" si="289"/>
        <v/>
      </c>
    </row>
    <row r="614" spans="1:130" customFormat="1">
      <c r="A614" s="210">
        <v>39553</v>
      </c>
      <c r="B614" s="211"/>
      <c r="C614" s="61">
        <v>2</v>
      </c>
      <c r="D614" s="59">
        <v>22</v>
      </c>
      <c r="E614" s="59">
        <v>0</v>
      </c>
      <c r="F614" s="59">
        <v>0</v>
      </c>
      <c r="G614" s="59">
        <v>0</v>
      </c>
      <c r="H614" s="59">
        <v>0</v>
      </c>
      <c r="I614" s="59">
        <v>0</v>
      </c>
      <c r="J614" s="59">
        <v>13</v>
      </c>
      <c r="K614" s="59">
        <v>0</v>
      </c>
      <c r="L614" s="59">
        <v>0</v>
      </c>
      <c r="M614" s="59">
        <v>0</v>
      </c>
      <c r="N614" s="59">
        <v>0</v>
      </c>
      <c r="O614" s="59">
        <v>3</v>
      </c>
      <c r="P614" s="59">
        <v>0</v>
      </c>
      <c r="Q614" s="59">
        <v>0</v>
      </c>
      <c r="R614" s="59">
        <v>0</v>
      </c>
      <c r="S614" s="35">
        <f t="shared" si="287"/>
        <v>40</v>
      </c>
      <c r="T614" s="59"/>
      <c r="U614" s="59">
        <v>19</v>
      </c>
      <c r="V614" s="59">
        <v>13</v>
      </c>
      <c r="W614" s="59">
        <v>0</v>
      </c>
      <c r="X614" s="62">
        <v>0</v>
      </c>
      <c r="Y614" s="10"/>
      <c r="Z614" s="61">
        <v>1510400</v>
      </c>
      <c r="AA614" s="101"/>
      <c r="AB614" s="101"/>
      <c r="AC614" s="61">
        <v>311758</v>
      </c>
      <c r="AD614" s="59"/>
      <c r="AE614" s="35">
        <f t="shared" si="284"/>
        <v>311758</v>
      </c>
      <c r="AF614" s="10"/>
      <c r="AG614" s="61">
        <v>55</v>
      </c>
      <c r="AH614" s="59">
        <v>34</v>
      </c>
      <c r="AI614" s="59">
        <v>100</v>
      </c>
      <c r="AJ614" s="62"/>
      <c r="AK614" s="10"/>
      <c r="AL614" s="8"/>
      <c r="AM614" s="10"/>
      <c r="AN614" s="35"/>
      <c r="AO614" s="279"/>
      <c r="AP614" s="279"/>
      <c r="AQ614" s="281"/>
      <c r="AR614" s="59">
        <v>137</v>
      </c>
      <c r="AS614" s="59"/>
      <c r="AT614" s="59"/>
      <c r="AU614" s="59"/>
      <c r="AV614" s="62"/>
      <c r="AW614" s="10"/>
      <c r="AX614" s="326">
        <v>39549</v>
      </c>
      <c r="AY614" s="5">
        <v>-4</v>
      </c>
      <c r="AZ614" s="10"/>
      <c r="BA614" s="61"/>
      <c r="BB614" s="59"/>
      <c r="BC614" s="59"/>
      <c r="BD614" s="59"/>
      <c r="BE614" s="59"/>
      <c r="BF614" s="59"/>
      <c r="BG614" s="62"/>
      <c r="BH614" s="62"/>
      <c r="BI614" s="59"/>
      <c r="BJ614" s="342"/>
      <c r="BK614" s="342"/>
      <c r="BL614" s="320"/>
      <c r="BM614" s="62"/>
      <c r="BN614" s="10"/>
      <c r="BO614" s="8"/>
      <c r="BP614" s="62"/>
      <c r="BQ614" s="10"/>
      <c r="BR614" s="29">
        <v>2008</v>
      </c>
      <c r="BS614" s="64">
        <v>2008</v>
      </c>
      <c r="BT614" s="14">
        <v>8</v>
      </c>
      <c r="BU614" s="10"/>
      <c r="BV614" s="8">
        <v>3</v>
      </c>
      <c r="BW614" s="59">
        <v>1</v>
      </c>
      <c r="BX614" s="59">
        <v>0</v>
      </c>
      <c r="BY614" s="59">
        <v>0</v>
      </c>
      <c r="BZ614" s="59">
        <v>0</v>
      </c>
      <c r="CA614" s="59">
        <v>0</v>
      </c>
      <c r="CB614" s="59">
        <v>0</v>
      </c>
      <c r="CC614" s="221"/>
      <c r="CD614" s="59">
        <v>4</v>
      </c>
      <c r="CE614" s="59">
        <v>0</v>
      </c>
      <c r="CF614" s="221">
        <v>0</v>
      </c>
      <c r="CG614" s="59">
        <v>0</v>
      </c>
      <c r="CH614" s="59">
        <v>0</v>
      </c>
      <c r="CI614" s="59">
        <v>0</v>
      </c>
      <c r="CJ614" s="59">
        <v>1</v>
      </c>
      <c r="CK614" s="59"/>
      <c r="CL614" s="59">
        <v>0</v>
      </c>
      <c r="CM614" s="59">
        <v>0</v>
      </c>
      <c r="CN614" s="59">
        <v>0</v>
      </c>
      <c r="CO614" s="59">
        <v>7</v>
      </c>
      <c r="CP614" s="317"/>
      <c r="CQ614" s="59">
        <v>0</v>
      </c>
      <c r="CR614" s="59"/>
      <c r="CS614" s="59">
        <v>0</v>
      </c>
      <c r="CT614" s="59">
        <v>3</v>
      </c>
      <c r="CU614" s="221">
        <v>0</v>
      </c>
      <c r="CV614" s="59">
        <v>2</v>
      </c>
      <c r="CW614" s="59">
        <v>0</v>
      </c>
      <c r="CX614" s="59">
        <v>0</v>
      </c>
      <c r="CY614" s="59">
        <v>1</v>
      </c>
      <c r="CZ614" s="59">
        <v>0</v>
      </c>
      <c r="DA614" s="59">
        <v>0</v>
      </c>
      <c r="DB614" s="59">
        <v>0</v>
      </c>
      <c r="DC614" s="59">
        <v>0</v>
      </c>
      <c r="DD614" s="59">
        <v>0</v>
      </c>
      <c r="DE614" s="59">
        <v>0</v>
      </c>
      <c r="DF614" s="59">
        <v>0</v>
      </c>
      <c r="DG614" s="59">
        <v>8</v>
      </c>
      <c r="DH614" s="59">
        <v>6</v>
      </c>
      <c r="DI614" s="59">
        <v>0</v>
      </c>
      <c r="DJ614" s="59">
        <v>0</v>
      </c>
      <c r="DK614" s="59">
        <v>0</v>
      </c>
      <c r="DL614" s="59">
        <v>0</v>
      </c>
      <c r="DM614" s="59">
        <v>0</v>
      </c>
      <c r="DN614" s="59">
        <v>0</v>
      </c>
      <c r="DO614" s="59">
        <v>2</v>
      </c>
      <c r="DP614" s="59">
        <v>0</v>
      </c>
      <c r="DQ614" s="59">
        <v>0</v>
      </c>
      <c r="DR614" s="59"/>
      <c r="DS614" s="59">
        <v>2</v>
      </c>
      <c r="DT614" s="59">
        <v>0</v>
      </c>
      <c r="DU614" s="59">
        <v>0</v>
      </c>
      <c r="DV614" s="38">
        <f t="shared" si="286"/>
        <v>40</v>
      </c>
      <c r="DW614" s="14" t="str">
        <f t="shared" si="285"/>
        <v/>
      </c>
      <c r="DY614">
        <f t="shared" si="288"/>
        <v>40</v>
      </c>
      <c r="DZ614" t="str">
        <f t="shared" si="289"/>
        <v/>
      </c>
    </row>
    <row r="615" spans="1:130" customFormat="1">
      <c r="A615" s="210">
        <v>39569</v>
      </c>
      <c r="B615" s="211"/>
      <c r="C615" s="61">
        <v>2</v>
      </c>
      <c r="D615" s="59">
        <v>15</v>
      </c>
      <c r="E615" s="59">
        <v>1</v>
      </c>
      <c r="F615" s="59">
        <v>2</v>
      </c>
      <c r="G615" s="59">
        <v>0</v>
      </c>
      <c r="H615" s="59">
        <v>0</v>
      </c>
      <c r="I615" s="59">
        <v>0</v>
      </c>
      <c r="J615" s="59">
        <v>6</v>
      </c>
      <c r="K615" s="59">
        <v>1</v>
      </c>
      <c r="L615" s="59">
        <v>0</v>
      </c>
      <c r="M615" s="59">
        <v>0</v>
      </c>
      <c r="N615" s="59">
        <v>0</v>
      </c>
      <c r="O615" s="59">
        <v>24</v>
      </c>
      <c r="P615" s="59">
        <v>0</v>
      </c>
      <c r="Q615" s="59">
        <v>0</v>
      </c>
      <c r="R615" s="59">
        <v>0</v>
      </c>
      <c r="S615" s="35">
        <f>SUM(C615:R615)</f>
        <v>51</v>
      </c>
      <c r="T615" s="59"/>
      <c r="U615" s="59">
        <v>23</v>
      </c>
      <c r="V615" s="59">
        <v>16</v>
      </c>
      <c r="W615" s="59">
        <v>0</v>
      </c>
      <c r="X615" s="62">
        <v>0</v>
      </c>
      <c r="Y615" s="10"/>
      <c r="Z615" s="61">
        <v>1568256</v>
      </c>
      <c r="AA615" s="101"/>
      <c r="AB615" s="101"/>
      <c r="AC615" s="61">
        <v>576546</v>
      </c>
      <c r="AD615" s="59"/>
      <c r="AE615" s="35">
        <f t="shared" si="284"/>
        <v>576546</v>
      </c>
      <c r="AF615" s="10"/>
      <c r="AG615" s="61">
        <v>53</v>
      </c>
      <c r="AH615" s="59">
        <v>38</v>
      </c>
      <c r="AI615" s="59">
        <v>100</v>
      </c>
      <c r="AJ615" s="62"/>
      <c r="AK615" s="10"/>
      <c r="AL615" s="8"/>
      <c r="AM615" s="10"/>
      <c r="AN615" s="35"/>
      <c r="AO615" s="279"/>
      <c r="AP615" s="279"/>
      <c r="AQ615" s="281"/>
      <c r="AR615" s="59">
        <v>136</v>
      </c>
      <c r="AS615" s="59">
        <v>51</v>
      </c>
      <c r="AT615" s="59">
        <v>88</v>
      </c>
      <c r="AU615" s="59">
        <v>16</v>
      </c>
      <c r="AV615" s="62">
        <v>183</v>
      </c>
      <c r="AW615" s="10"/>
      <c r="AX615" s="326">
        <v>39568</v>
      </c>
      <c r="AY615" s="5">
        <v>-1</v>
      </c>
      <c r="AZ615" s="10"/>
      <c r="BA615" s="61">
        <v>1871</v>
      </c>
      <c r="BB615" s="59">
        <v>51933389</v>
      </c>
      <c r="BC615" s="59"/>
      <c r="BD615" s="59"/>
      <c r="BE615" s="59">
        <v>46</v>
      </c>
      <c r="BF615" s="59">
        <v>2</v>
      </c>
      <c r="BG615" s="59">
        <v>4</v>
      </c>
      <c r="BH615" s="351"/>
      <c r="BI615" s="59">
        <v>1687679</v>
      </c>
      <c r="BJ615" s="342">
        <v>39578</v>
      </c>
      <c r="BK615" s="342">
        <v>39612</v>
      </c>
      <c r="BL615" s="320">
        <f>BK615-BJ615</f>
        <v>34</v>
      </c>
      <c r="BM615" s="62"/>
      <c r="BN615" s="10"/>
      <c r="BO615" s="8"/>
      <c r="BP615" s="5">
        <v>161</v>
      </c>
      <c r="BQ615" s="10"/>
      <c r="BR615" s="29">
        <v>2008</v>
      </c>
      <c r="BS615" s="64">
        <v>2008</v>
      </c>
      <c r="BT615" s="14">
        <v>9</v>
      </c>
      <c r="BU615" s="10"/>
      <c r="BV615" s="8">
        <v>8</v>
      </c>
      <c r="BW615" s="59">
        <v>4</v>
      </c>
      <c r="BX615" s="59">
        <v>0</v>
      </c>
      <c r="BY615" s="59">
        <v>0</v>
      </c>
      <c r="BZ615" s="59">
        <v>0</v>
      </c>
      <c r="CA615" s="59">
        <v>0</v>
      </c>
      <c r="CB615" s="59">
        <v>0</v>
      </c>
      <c r="CC615" s="221"/>
      <c r="CD615" s="59">
        <v>6</v>
      </c>
      <c r="CE615" s="59">
        <v>0</v>
      </c>
      <c r="CF615" s="221">
        <v>0</v>
      </c>
      <c r="CG615" s="59">
        <v>0</v>
      </c>
      <c r="CH615" s="59">
        <v>0</v>
      </c>
      <c r="CI615" s="59">
        <v>0</v>
      </c>
      <c r="CJ615" s="59">
        <v>1</v>
      </c>
      <c r="CK615" s="59"/>
      <c r="CL615" s="59">
        <v>0</v>
      </c>
      <c r="CM615" s="59">
        <v>0</v>
      </c>
      <c r="CN615" s="59">
        <v>1</v>
      </c>
      <c r="CO615" s="59">
        <v>2</v>
      </c>
      <c r="CP615" s="317"/>
      <c r="CQ615" s="59">
        <v>0</v>
      </c>
      <c r="CR615" s="59"/>
      <c r="CS615" s="59">
        <v>0</v>
      </c>
      <c r="CT615" s="59">
        <v>4</v>
      </c>
      <c r="CU615" s="221">
        <v>0</v>
      </c>
      <c r="CV615" s="59">
        <v>2</v>
      </c>
      <c r="CW615" s="59">
        <v>0</v>
      </c>
      <c r="CX615" s="59">
        <v>0</v>
      </c>
      <c r="CY615" s="59">
        <v>2</v>
      </c>
      <c r="CZ615" s="59">
        <v>0</v>
      </c>
      <c r="DA615" s="59">
        <v>0</v>
      </c>
      <c r="DB615" s="59">
        <v>6</v>
      </c>
      <c r="DC615" s="59">
        <v>0</v>
      </c>
      <c r="DD615" s="59">
        <v>0</v>
      </c>
      <c r="DE615" s="59">
        <v>0</v>
      </c>
      <c r="DF615" s="59">
        <v>0</v>
      </c>
      <c r="DG615" s="59">
        <v>14</v>
      </c>
      <c r="DH615" s="59">
        <v>0</v>
      </c>
      <c r="DI615" s="59">
        <v>1</v>
      </c>
      <c r="DJ615" s="59">
        <v>0</v>
      </c>
      <c r="DK615" s="59">
        <v>0</v>
      </c>
      <c r="DL615" s="59">
        <v>0</v>
      </c>
      <c r="DM615" s="59">
        <v>0</v>
      </c>
      <c r="DN615" s="59">
        <v>0</v>
      </c>
      <c r="DO615" s="59">
        <v>0</v>
      </c>
      <c r="DP615" s="59">
        <v>0</v>
      </c>
      <c r="DQ615" s="59">
        <v>0</v>
      </c>
      <c r="DR615" s="59"/>
      <c r="DS615" s="59">
        <v>0</v>
      </c>
      <c r="DT615" s="59">
        <v>0</v>
      </c>
      <c r="DU615" s="59">
        <v>0</v>
      </c>
      <c r="DV615" s="38">
        <f t="shared" si="286"/>
        <v>51</v>
      </c>
      <c r="DW615" s="14" t="str">
        <f t="shared" si="285"/>
        <v/>
      </c>
      <c r="DY615">
        <f t="shared" si="288"/>
        <v>51</v>
      </c>
      <c r="DZ615" t="str">
        <f t="shared" si="289"/>
        <v/>
      </c>
    </row>
    <row r="616" spans="1:130" customFormat="1">
      <c r="A616" s="210">
        <v>39583</v>
      </c>
      <c r="B616" s="211"/>
      <c r="C616" s="61">
        <v>8</v>
      </c>
      <c r="D616" s="59">
        <v>54</v>
      </c>
      <c r="E616" s="59">
        <v>0</v>
      </c>
      <c r="F616" s="59">
        <v>1</v>
      </c>
      <c r="G616" s="59">
        <v>0</v>
      </c>
      <c r="H616" s="59">
        <v>1</v>
      </c>
      <c r="I616" s="59">
        <v>0</v>
      </c>
      <c r="J616" s="59">
        <v>15</v>
      </c>
      <c r="K616" s="59">
        <v>1</v>
      </c>
      <c r="L616" s="59">
        <v>0</v>
      </c>
      <c r="M616" s="59">
        <v>2</v>
      </c>
      <c r="N616" s="59">
        <v>0</v>
      </c>
      <c r="O616" s="59">
        <v>109</v>
      </c>
      <c r="P616" s="59">
        <v>22</v>
      </c>
      <c r="Q616" s="59">
        <v>0</v>
      </c>
      <c r="R616" s="59">
        <v>0</v>
      </c>
      <c r="S616" s="35">
        <f>SUM(C616:R616)</f>
        <v>213</v>
      </c>
      <c r="T616" s="59"/>
      <c r="U616" s="59">
        <v>53</v>
      </c>
      <c r="V616" s="59">
        <v>47</v>
      </c>
      <c r="W616" s="59">
        <v>0</v>
      </c>
      <c r="X616" s="62">
        <v>0</v>
      </c>
      <c r="Y616" s="10"/>
      <c r="Z616" s="61">
        <v>3027968</v>
      </c>
      <c r="AA616" s="101"/>
      <c r="AB616" s="101"/>
      <c r="AC616" s="61">
        <v>4130360</v>
      </c>
      <c r="AD616" s="59"/>
      <c r="AE616" s="35">
        <f t="shared" si="284"/>
        <v>4130360</v>
      </c>
      <c r="AF616" s="10"/>
      <c r="AG616" s="61">
        <v>150</v>
      </c>
      <c r="AH616" s="59">
        <v>57</v>
      </c>
      <c r="AI616" s="59">
        <v>220</v>
      </c>
      <c r="AJ616" s="62"/>
      <c r="AK616" s="10"/>
      <c r="AL616" s="8"/>
      <c r="AM616" s="10"/>
      <c r="AN616" s="35"/>
      <c r="AO616" s="279"/>
      <c r="AP616" s="279"/>
      <c r="AQ616" s="281"/>
      <c r="AR616" s="59">
        <v>137</v>
      </c>
      <c r="AS616" s="59"/>
      <c r="AT616" s="59"/>
      <c r="AU616" s="59"/>
      <c r="AV616" s="62"/>
      <c r="AW616" s="10"/>
      <c r="AX616" s="326">
        <v>39582</v>
      </c>
      <c r="AY616" s="5">
        <v>-1</v>
      </c>
      <c r="AZ616" s="10"/>
      <c r="BA616" s="8"/>
      <c r="BB616" s="10"/>
      <c r="BC616" s="10"/>
      <c r="BD616" s="10"/>
      <c r="BE616" s="10"/>
      <c r="BF616" s="10"/>
      <c r="BG616" s="10"/>
      <c r="BH616" s="30"/>
      <c r="BI616" s="10"/>
      <c r="BJ616" s="338"/>
      <c r="BK616" s="338"/>
      <c r="BL616" s="320"/>
      <c r="BM616" s="5"/>
      <c r="BN616" s="10"/>
      <c r="BO616" s="8"/>
      <c r="BP616" s="5"/>
      <c r="BQ616" s="10"/>
      <c r="BR616" s="29">
        <v>2008</v>
      </c>
      <c r="BS616" s="64">
        <v>2008</v>
      </c>
      <c r="BT616" s="14">
        <v>10</v>
      </c>
      <c r="BU616" s="10"/>
      <c r="BV616" s="8">
        <v>10</v>
      </c>
      <c r="BW616" s="59">
        <v>0</v>
      </c>
      <c r="BX616" s="59">
        <v>16</v>
      </c>
      <c r="BY616" s="59">
        <v>0</v>
      </c>
      <c r="BZ616" s="59">
        <v>8</v>
      </c>
      <c r="CA616" s="59">
        <v>1</v>
      </c>
      <c r="CB616" s="59">
        <v>0</v>
      </c>
      <c r="CC616" s="221"/>
      <c r="CD616" s="59">
        <v>27</v>
      </c>
      <c r="CE616" s="59">
        <v>2</v>
      </c>
      <c r="CF616" s="221">
        <v>0</v>
      </c>
      <c r="CG616" s="59">
        <v>0</v>
      </c>
      <c r="CH616" s="59">
        <v>25</v>
      </c>
      <c r="CI616" s="59">
        <v>0</v>
      </c>
      <c r="CJ616" s="59">
        <v>3</v>
      </c>
      <c r="CK616" s="59"/>
      <c r="CL616" s="59">
        <v>0</v>
      </c>
      <c r="CM616" s="59">
        <v>2</v>
      </c>
      <c r="CN616" s="59">
        <v>0</v>
      </c>
      <c r="CO616" s="59">
        <v>19</v>
      </c>
      <c r="CP616" s="317"/>
      <c r="CQ616" s="59">
        <v>0</v>
      </c>
      <c r="CR616" s="59"/>
      <c r="CS616" s="59">
        <v>15</v>
      </c>
      <c r="CT616" s="59">
        <v>13</v>
      </c>
      <c r="CU616" s="221">
        <v>0</v>
      </c>
      <c r="CV616" s="59">
        <v>4</v>
      </c>
      <c r="CW616" s="59">
        <v>0</v>
      </c>
      <c r="CX616" s="59">
        <v>0</v>
      </c>
      <c r="CY616" s="59">
        <v>26</v>
      </c>
      <c r="CZ616" s="59">
        <v>0</v>
      </c>
      <c r="DA616" s="59">
        <v>0</v>
      </c>
      <c r="DB616" s="59">
        <v>28</v>
      </c>
      <c r="DC616" s="59">
        <v>0</v>
      </c>
      <c r="DD616" s="59">
        <v>0</v>
      </c>
      <c r="DE616" s="59">
        <v>0</v>
      </c>
      <c r="DF616" s="59">
        <v>0</v>
      </c>
      <c r="DG616" s="59">
        <v>1</v>
      </c>
      <c r="DH616" s="59">
        <v>0</v>
      </c>
      <c r="DI616" s="59">
        <v>5</v>
      </c>
      <c r="DJ616" s="59">
        <v>0</v>
      </c>
      <c r="DK616" s="59">
        <v>0</v>
      </c>
      <c r="DL616" s="59">
        <v>1</v>
      </c>
      <c r="DM616" s="59">
        <v>5</v>
      </c>
      <c r="DN616" s="59">
        <v>0</v>
      </c>
      <c r="DO616" s="59">
        <v>0</v>
      </c>
      <c r="DP616" s="59">
        <v>0</v>
      </c>
      <c r="DQ616" s="59">
        <v>0</v>
      </c>
      <c r="DR616" s="59"/>
      <c r="DS616" s="59">
        <v>2</v>
      </c>
      <c r="DT616" s="59">
        <v>0</v>
      </c>
      <c r="DU616" s="59">
        <v>0</v>
      </c>
      <c r="DV616" s="38">
        <f t="shared" si="286"/>
        <v>213</v>
      </c>
      <c r="DW616" s="14" t="str">
        <f t="shared" si="285"/>
        <v/>
      </c>
      <c r="DY616">
        <f t="shared" si="288"/>
        <v>213</v>
      </c>
      <c r="DZ616" t="str">
        <f t="shared" si="289"/>
        <v/>
      </c>
    </row>
    <row r="617" spans="1:130" customFormat="1">
      <c r="A617" s="210">
        <v>39600</v>
      </c>
      <c r="B617" s="211"/>
      <c r="C617" s="8">
        <v>6</v>
      </c>
      <c r="D617" s="59">
        <v>17</v>
      </c>
      <c r="E617" s="59">
        <v>1</v>
      </c>
      <c r="F617" s="59">
        <v>1</v>
      </c>
      <c r="G617" s="59">
        <v>2</v>
      </c>
      <c r="H617" s="59">
        <v>0</v>
      </c>
      <c r="I617" s="59">
        <v>0</v>
      </c>
      <c r="J617" s="59">
        <v>9</v>
      </c>
      <c r="K617" s="59">
        <v>1</v>
      </c>
      <c r="L617" s="59">
        <v>0</v>
      </c>
      <c r="M617" s="59">
        <v>0</v>
      </c>
      <c r="N617" s="59">
        <v>0</v>
      </c>
      <c r="O617" s="59">
        <v>41</v>
      </c>
      <c r="P617" s="59">
        <v>3</v>
      </c>
      <c r="Q617" s="59">
        <v>1</v>
      </c>
      <c r="R617" s="59">
        <v>0</v>
      </c>
      <c r="S617" s="35">
        <f>SUM(C617:R617)</f>
        <v>82</v>
      </c>
      <c r="T617" s="59"/>
      <c r="U617" s="59">
        <v>10</v>
      </c>
      <c r="V617" s="59">
        <v>9</v>
      </c>
      <c r="W617" s="59">
        <v>0</v>
      </c>
      <c r="X617" s="62">
        <v>0</v>
      </c>
      <c r="Y617" s="10"/>
      <c r="Z617" s="61">
        <v>2926592</v>
      </c>
      <c r="AA617" s="101"/>
      <c r="AB617" s="101"/>
      <c r="AC617" s="61">
        <v>2464219</v>
      </c>
      <c r="AD617" s="59"/>
      <c r="AE617" s="35">
        <f t="shared" si="284"/>
        <v>2464219</v>
      </c>
      <c r="AF617" s="10"/>
      <c r="AG617" s="8">
        <v>128</v>
      </c>
      <c r="AH617" s="59">
        <v>61</v>
      </c>
      <c r="AI617" s="59">
        <v>200</v>
      </c>
      <c r="AJ617" s="5"/>
      <c r="AK617" s="10"/>
      <c r="AL617" s="8"/>
      <c r="AM617" s="10"/>
      <c r="AN617" s="35"/>
      <c r="AO617" s="279"/>
      <c r="AP617" s="279"/>
      <c r="AQ617" s="281"/>
      <c r="AR617" s="59">
        <v>137</v>
      </c>
      <c r="AS617" s="59"/>
      <c r="AT617" s="59"/>
      <c r="AU617" s="59"/>
      <c r="AV617" s="62"/>
      <c r="AW617" s="10"/>
      <c r="AX617" s="326">
        <v>39598</v>
      </c>
      <c r="AY617" s="5">
        <v>-2</v>
      </c>
      <c r="AZ617" s="10"/>
      <c r="BA617" s="8">
        <v>1873</v>
      </c>
      <c r="BB617" s="10">
        <v>53725436</v>
      </c>
      <c r="BC617" s="10"/>
      <c r="BD617" s="10"/>
      <c r="BE617" s="10">
        <v>174</v>
      </c>
      <c r="BF617" s="59">
        <v>2</v>
      </c>
      <c r="BG617" s="59">
        <v>0</v>
      </c>
      <c r="BH617" s="351"/>
      <c r="BI617" s="10">
        <v>6883881</v>
      </c>
      <c r="BJ617" s="338">
        <v>39609</v>
      </c>
      <c r="BK617" s="342">
        <v>39681</v>
      </c>
      <c r="BL617" s="320">
        <f>BK617-BJ617</f>
        <v>72</v>
      </c>
      <c r="BM617" s="5"/>
      <c r="BN617" s="10"/>
      <c r="BO617" s="8"/>
      <c r="BP617" s="5">
        <v>161</v>
      </c>
      <c r="BQ617" s="10"/>
      <c r="BR617" s="29">
        <v>2008</v>
      </c>
      <c r="BS617" s="64">
        <v>2008</v>
      </c>
      <c r="BT617" s="14">
        <v>11</v>
      </c>
      <c r="BU617" s="10"/>
      <c r="BV617" s="8">
        <v>6</v>
      </c>
      <c r="BW617" s="59">
        <v>2</v>
      </c>
      <c r="BX617" s="59">
        <v>0</v>
      </c>
      <c r="BY617" s="59">
        <v>0</v>
      </c>
      <c r="BZ617" s="59">
        <v>0</v>
      </c>
      <c r="CA617" s="59">
        <v>0</v>
      </c>
      <c r="CB617" s="59">
        <v>0</v>
      </c>
      <c r="CC617" s="221"/>
      <c r="CD617" s="59">
        <v>9</v>
      </c>
      <c r="CE617" s="59">
        <v>1</v>
      </c>
      <c r="CF617" s="221">
        <v>0</v>
      </c>
      <c r="CG617" s="59">
        <v>0</v>
      </c>
      <c r="CH617" s="59">
        <v>0</v>
      </c>
      <c r="CI617" s="59">
        <v>7</v>
      </c>
      <c r="CJ617" s="59">
        <v>11</v>
      </c>
      <c r="CK617" s="59"/>
      <c r="CL617" s="59">
        <v>0</v>
      </c>
      <c r="CM617" s="59">
        <v>0</v>
      </c>
      <c r="CN617" s="59">
        <v>0</v>
      </c>
      <c r="CO617" s="59">
        <v>2</v>
      </c>
      <c r="CP617" s="317"/>
      <c r="CQ617" s="59">
        <v>0</v>
      </c>
      <c r="CR617" s="59"/>
      <c r="CS617" s="59">
        <v>0</v>
      </c>
      <c r="CT617" s="59">
        <v>8</v>
      </c>
      <c r="CU617" s="221">
        <v>0</v>
      </c>
      <c r="CV617" s="59">
        <v>0</v>
      </c>
      <c r="CW617" s="59">
        <v>0</v>
      </c>
      <c r="CX617" s="59">
        <v>0</v>
      </c>
      <c r="CY617" s="59">
        <v>1</v>
      </c>
      <c r="CZ617" s="59">
        <v>0</v>
      </c>
      <c r="DA617" s="59">
        <v>0</v>
      </c>
      <c r="DB617" s="59">
        <v>5</v>
      </c>
      <c r="DC617" s="59">
        <v>0</v>
      </c>
      <c r="DD617" s="59">
        <v>0</v>
      </c>
      <c r="DE617" s="59">
        <v>0</v>
      </c>
      <c r="DF617" s="59">
        <v>0</v>
      </c>
      <c r="DG617" s="59">
        <v>5</v>
      </c>
      <c r="DH617" s="59">
        <v>7</v>
      </c>
      <c r="DI617" s="59">
        <v>3</v>
      </c>
      <c r="DJ617" s="59">
        <v>0</v>
      </c>
      <c r="DK617" s="59">
        <v>0</v>
      </c>
      <c r="DL617" s="59">
        <v>0</v>
      </c>
      <c r="DM617" s="59">
        <v>15</v>
      </c>
      <c r="DN617" s="59">
        <v>0</v>
      </c>
      <c r="DO617" s="59">
        <v>0</v>
      </c>
      <c r="DP617" s="59">
        <v>0</v>
      </c>
      <c r="DQ617" s="59">
        <v>0</v>
      </c>
      <c r="DR617" s="59"/>
      <c r="DS617" s="59">
        <v>0</v>
      </c>
      <c r="DT617" s="59">
        <v>0</v>
      </c>
      <c r="DU617" s="59">
        <v>0</v>
      </c>
      <c r="DV617" s="38">
        <f t="shared" si="286"/>
        <v>82</v>
      </c>
      <c r="DW617" s="14" t="str">
        <f t="shared" si="285"/>
        <v/>
      </c>
      <c r="DY617">
        <f t="shared" si="288"/>
        <v>82</v>
      </c>
      <c r="DZ617" t="str">
        <f t="shared" si="289"/>
        <v/>
      </c>
    </row>
    <row r="618" spans="1:130" customFormat="1">
      <c r="A618" s="210">
        <v>39614</v>
      </c>
      <c r="B618" s="211"/>
      <c r="C618" s="8">
        <v>0</v>
      </c>
      <c r="D618" s="59">
        <v>25</v>
      </c>
      <c r="E618" s="59">
        <v>2</v>
      </c>
      <c r="F618" s="59">
        <v>1</v>
      </c>
      <c r="G618" s="59">
        <v>0</v>
      </c>
      <c r="H618" s="59">
        <v>0</v>
      </c>
      <c r="I618" s="59">
        <v>0</v>
      </c>
      <c r="J618" s="59">
        <v>33</v>
      </c>
      <c r="K618" s="59">
        <v>0</v>
      </c>
      <c r="L618" s="59">
        <v>0</v>
      </c>
      <c r="M618" s="59">
        <v>0</v>
      </c>
      <c r="N618" s="59">
        <v>0</v>
      </c>
      <c r="O618" s="59">
        <v>16</v>
      </c>
      <c r="P618" s="59">
        <v>0</v>
      </c>
      <c r="Q618" s="59">
        <v>0</v>
      </c>
      <c r="R618" s="59">
        <v>0</v>
      </c>
      <c r="S618" s="35">
        <f>SUM(C618:R618)</f>
        <v>77</v>
      </c>
      <c r="T618" s="59"/>
      <c r="U618" s="59">
        <v>24</v>
      </c>
      <c r="V618" s="59">
        <v>24</v>
      </c>
      <c r="W618" s="59">
        <v>0</v>
      </c>
      <c r="X618" s="5">
        <v>0</v>
      </c>
      <c r="Y618" s="10"/>
      <c r="Z618" s="61">
        <v>2485248</v>
      </c>
      <c r="AA618" s="101"/>
      <c r="AB618" s="101"/>
      <c r="AC618" s="61">
        <v>593078</v>
      </c>
      <c r="AD618" s="59"/>
      <c r="AE618" s="35">
        <f t="shared" si="284"/>
        <v>593078</v>
      </c>
      <c r="AF618" s="10"/>
      <c r="AG618" s="8">
        <v>63</v>
      </c>
      <c r="AH618" s="59">
        <v>64</v>
      </c>
      <c r="AI618" s="59">
        <v>140</v>
      </c>
      <c r="AJ618" s="5"/>
      <c r="AK618" s="10"/>
      <c r="AL618" s="8"/>
      <c r="AM618" s="10"/>
      <c r="AN618" s="35"/>
      <c r="AO618" s="279"/>
      <c r="AP618" s="279"/>
      <c r="AQ618" s="281"/>
      <c r="AR618" s="59">
        <v>137</v>
      </c>
      <c r="AS618" s="59"/>
      <c r="AT618" s="59"/>
      <c r="AU618" s="59"/>
      <c r="AV618" s="62"/>
      <c r="AW618" s="10"/>
      <c r="AX618" s="326">
        <v>39611</v>
      </c>
      <c r="AY618" s="5">
        <v>-3</v>
      </c>
      <c r="AZ618" s="10"/>
      <c r="BA618" s="8"/>
      <c r="BB618" s="10"/>
      <c r="BC618" s="10"/>
      <c r="BD618" s="10"/>
      <c r="BE618" s="10"/>
      <c r="BF618" s="10"/>
      <c r="BG618" s="10"/>
      <c r="BH618" s="30"/>
      <c r="BI618" s="10"/>
      <c r="BJ618" s="338"/>
      <c r="BK618" s="338"/>
      <c r="BL618" s="320"/>
      <c r="BM618" s="5"/>
      <c r="BN618" s="10"/>
      <c r="BO618" s="8"/>
      <c r="BP618" s="5"/>
      <c r="BQ618" s="10"/>
      <c r="BR618" s="29">
        <v>2008</v>
      </c>
      <c r="BS618" s="64">
        <v>2008</v>
      </c>
      <c r="BT618" s="14">
        <v>12</v>
      </c>
      <c r="BU618" s="10"/>
      <c r="BV618" s="8">
        <v>9</v>
      </c>
      <c r="BW618" s="59">
        <v>2</v>
      </c>
      <c r="BX618" s="59">
        <v>0</v>
      </c>
      <c r="BY618" s="59">
        <v>0</v>
      </c>
      <c r="BZ618" s="59">
        <v>0</v>
      </c>
      <c r="CA618" s="59">
        <v>0</v>
      </c>
      <c r="CB618" s="10">
        <v>1</v>
      </c>
      <c r="CC618" s="221"/>
      <c r="CD618" s="59">
        <v>3</v>
      </c>
      <c r="CE618" s="59">
        <v>0</v>
      </c>
      <c r="CF618" s="221">
        <v>0</v>
      </c>
      <c r="CG618" s="59">
        <v>0</v>
      </c>
      <c r="CH618" s="59">
        <v>1</v>
      </c>
      <c r="CI618" s="59">
        <v>4</v>
      </c>
      <c r="CJ618" s="59">
        <v>9</v>
      </c>
      <c r="CK618" s="59"/>
      <c r="CL618" s="59">
        <v>0</v>
      </c>
      <c r="CM618" s="59">
        <v>0</v>
      </c>
      <c r="CN618" s="59">
        <v>0</v>
      </c>
      <c r="CO618" s="59">
        <v>11</v>
      </c>
      <c r="CP618" s="317"/>
      <c r="CQ618" s="59">
        <v>0</v>
      </c>
      <c r="CR618" s="59"/>
      <c r="CS618" s="59">
        <v>0</v>
      </c>
      <c r="CT618" s="59">
        <v>9</v>
      </c>
      <c r="CU618" s="221">
        <v>0</v>
      </c>
      <c r="CV618" s="59">
        <v>4</v>
      </c>
      <c r="CW618" s="59">
        <v>0</v>
      </c>
      <c r="CX618" s="59">
        <v>0</v>
      </c>
      <c r="CY618" s="59">
        <v>0</v>
      </c>
      <c r="CZ618" s="59">
        <v>0</v>
      </c>
      <c r="DA618" s="59">
        <v>0</v>
      </c>
      <c r="DB618" s="59">
        <v>7</v>
      </c>
      <c r="DC618" s="59">
        <v>0</v>
      </c>
      <c r="DD618" s="59">
        <v>2</v>
      </c>
      <c r="DE618" s="59">
        <v>0</v>
      </c>
      <c r="DF618" s="59">
        <v>0</v>
      </c>
      <c r="DG618" s="59">
        <v>1</v>
      </c>
      <c r="DH618" s="59">
        <v>0</v>
      </c>
      <c r="DI618" s="59">
        <v>3</v>
      </c>
      <c r="DJ618" s="59">
        <v>0</v>
      </c>
      <c r="DK618" s="59">
        <v>0</v>
      </c>
      <c r="DL618" s="59">
        <v>0</v>
      </c>
      <c r="DM618" s="59">
        <v>7</v>
      </c>
      <c r="DN618" s="59">
        <v>0</v>
      </c>
      <c r="DO618" s="59">
        <v>0</v>
      </c>
      <c r="DP618" s="59">
        <v>0</v>
      </c>
      <c r="DQ618" s="59">
        <v>0</v>
      </c>
      <c r="DR618" s="59"/>
      <c r="DS618" s="59">
        <v>4</v>
      </c>
      <c r="DT618" s="59">
        <v>0</v>
      </c>
      <c r="DU618" s="59">
        <v>0</v>
      </c>
      <c r="DV618" s="38">
        <f t="shared" si="286"/>
        <v>77</v>
      </c>
      <c r="DW618" s="14" t="str">
        <f t="shared" si="285"/>
        <v/>
      </c>
      <c r="DY618">
        <f t="shared" si="288"/>
        <v>77</v>
      </c>
      <c r="DZ618" t="str">
        <f t="shared" si="289"/>
        <v/>
      </c>
    </row>
    <row r="619" spans="1:130" s="6" customFormat="1" ht="12" thickBot="1">
      <c r="A619" s="212" t="s">
        <v>243</v>
      </c>
      <c r="B619" s="83"/>
      <c r="C619" s="52">
        <f t="shared" ref="C619:X619" si="290">SUM(C595:C618)</f>
        <v>50</v>
      </c>
      <c r="D619" s="53">
        <f t="shared" si="290"/>
        <v>441</v>
      </c>
      <c r="E619" s="53">
        <f t="shared" si="290"/>
        <v>26</v>
      </c>
      <c r="F619" s="53">
        <f t="shared" si="290"/>
        <v>16</v>
      </c>
      <c r="G619" s="53">
        <f t="shared" si="290"/>
        <v>18</v>
      </c>
      <c r="H619" s="53">
        <f t="shared" si="290"/>
        <v>10</v>
      </c>
      <c r="I619" s="53">
        <f>SUM(I595:I618)</f>
        <v>0</v>
      </c>
      <c r="J619" s="53">
        <f t="shared" si="290"/>
        <v>614</v>
      </c>
      <c r="K619" s="53">
        <f t="shared" si="290"/>
        <v>21</v>
      </c>
      <c r="L619" s="53">
        <f t="shared" si="290"/>
        <v>4</v>
      </c>
      <c r="M619" s="53">
        <f t="shared" ref="M619:P619" si="291">SUM(M595:M618)</f>
        <v>2</v>
      </c>
      <c r="N619" s="53">
        <f t="shared" si="291"/>
        <v>0</v>
      </c>
      <c r="O619" s="53">
        <f>SUM(O595:O618)</f>
        <v>267</v>
      </c>
      <c r="P619" s="53">
        <f t="shared" si="291"/>
        <v>42</v>
      </c>
      <c r="Q619" s="53">
        <f t="shared" si="290"/>
        <v>5</v>
      </c>
      <c r="R619" s="53">
        <f t="shared" si="290"/>
        <v>2</v>
      </c>
      <c r="S619" s="55">
        <f t="shared" si="290"/>
        <v>1518</v>
      </c>
      <c r="T619" s="53">
        <f t="shared" si="290"/>
        <v>0</v>
      </c>
      <c r="U619" s="53">
        <f t="shared" si="290"/>
        <v>580</v>
      </c>
      <c r="V619" s="53">
        <f t="shared" ref="V619" si="292">SUM(V595:V618)</f>
        <v>469</v>
      </c>
      <c r="W619" s="53">
        <f t="shared" si="290"/>
        <v>0</v>
      </c>
      <c r="X619" s="54">
        <f t="shared" si="290"/>
        <v>2</v>
      </c>
      <c r="Z619" s="52">
        <f>SUM(Z595:Z618)</f>
        <v>63591424</v>
      </c>
      <c r="AA619" s="53">
        <f>SUM(AA595:AA618)</f>
        <v>0</v>
      </c>
      <c r="AB619" s="53"/>
      <c r="AC619" s="52">
        <f>SUM(AC595:AC618)</f>
        <v>17378992</v>
      </c>
      <c r="AD619" s="53">
        <f>SUM(AD595:AD618)</f>
        <v>0</v>
      </c>
      <c r="AE619" s="55">
        <f>SUM(AE595:AE618)</f>
        <v>17378992</v>
      </c>
      <c r="AG619" s="52">
        <f>SUM(AG595:AG618)</f>
        <v>1788</v>
      </c>
      <c r="AH619" s="53">
        <f>SUM(AH595:AH618)</f>
        <v>1673</v>
      </c>
      <c r="AI619" s="53">
        <f>SUM(AI595:AI618)</f>
        <v>3751</v>
      </c>
      <c r="AJ619" s="54">
        <f>SUM(AJ595:AJ618)</f>
        <v>0</v>
      </c>
      <c r="AL619" s="52">
        <f t="shared" ref="AL619:AV619" si="293">SUM(AL595:AL618)</f>
        <v>0</v>
      </c>
      <c r="AM619" s="53">
        <f t="shared" si="293"/>
        <v>173</v>
      </c>
      <c r="AN619" s="55">
        <f t="shared" si="293"/>
        <v>173</v>
      </c>
      <c r="AO619" s="283"/>
      <c r="AP619" s="283"/>
      <c r="AQ619" s="284"/>
      <c r="AR619" s="53">
        <f t="shared" si="293"/>
        <v>3291</v>
      </c>
      <c r="AS619" s="53">
        <f t="shared" si="293"/>
        <v>691</v>
      </c>
      <c r="AT619" s="53">
        <f t="shared" si="293"/>
        <v>1489</v>
      </c>
      <c r="AU619" s="53">
        <f t="shared" si="293"/>
        <v>217</v>
      </c>
      <c r="AV619" s="54">
        <f t="shared" si="293"/>
        <v>2865</v>
      </c>
      <c r="AX619" s="329"/>
      <c r="AY619" s="54"/>
      <c r="BA619" s="52">
        <f t="shared" ref="BA619:BM619" si="294">SUM(BA595:BA618)</f>
        <v>22446</v>
      </c>
      <c r="BB619" s="53">
        <f t="shared" si="294"/>
        <v>608761202</v>
      </c>
      <c r="BC619" s="53">
        <f t="shared" si="294"/>
        <v>0</v>
      </c>
      <c r="BD619" s="53"/>
      <c r="BE619" s="53">
        <f t="shared" si="294"/>
        <v>1118</v>
      </c>
      <c r="BF619" s="53">
        <f t="shared" si="294"/>
        <v>41</v>
      </c>
      <c r="BG619" s="53">
        <f t="shared" si="294"/>
        <v>30</v>
      </c>
      <c r="BH619" s="55"/>
      <c r="BI619" s="53">
        <f t="shared" si="294"/>
        <v>43623812</v>
      </c>
      <c r="BJ619" s="339"/>
      <c r="BK619" s="339"/>
      <c r="BL619" s="304"/>
      <c r="BM619" s="54">
        <f t="shared" si="294"/>
        <v>0</v>
      </c>
      <c r="BO619" s="52">
        <f>SUM(BO595:BO618)</f>
        <v>0</v>
      </c>
      <c r="BP619" s="54">
        <f>SUM(BP595:BP618)</f>
        <v>1938</v>
      </c>
      <c r="BR619" s="81" t="s">
        <v>220</v>
      </c>
      <c r="BS619" s="80"/>
      <c r="BT619" s="82"/>
      <c r="BV619" s="52">
        <f>SUM(BV595:BV618)</f>
        <v>65</v>
      </c>
      <c r="BW619" s="53">
        <f>SUM(BW595:BW618)</f>
        <v>29</v>
      </c>
      <c r="BX619" s="53">
        <f t="shared" ref="BX619:DU619" si="295">SUM(BX595:BX618)</f>
        <v>21</v>
      </c>
      <c r="BY619" s="53">
        <f t="shared" si="295"/>
        <v>1</v>
      </c>
      <c r="BZ619" s="53">
        <f t="shared" si="295"/>
        <v>12</v>
      </c>
      <c r="CA619" s="53">
        <f t="shared" si="295"/>
        <v>4</v>
      </c>
      <c r="CB619" s="53">
        <f t="shared" si="295"/>
        <v>1</v>
      </c>
      <c r="CC619" s="53">
        <f t="shared" si="295"/>
        <v>0</v>
      </c>
      <c r="CD619" s="53">
        <f t="shared" si="295"/>
        <v>123</v>
      </c>
      <c r="CE619" s="53">
        <f t="shared" si="295"/>
        <v>25</v>
      </c>
      <c r="CF619" s="53">
        <f t="shared" si="295"/>
        <v>0</v>
      </c>
      <c r="CG619" s="53">
        <f t="shared" si="295"/>
        <v>7</v>
      </c>
      <c r="CH619" s="53">
        <f t="shared" si="295"/>
        <v>30</v>
      </c>
      <c r="CI619" s="53">
        <f t="shared" si="295"/>
        <v>106</v>
      </c>
      <c r="CJ619" s="53">
        <f t="shared" si="295"/>
        <v>132</v>
      </c>
      <c r="CK619" s="53">
        <f t="shared" si="295"/>
        <v>0</v>
      </c>
      <c r="CL619" s="53">
        <f t="shared" si="295"/>
        <v>0</v>
      </c>
      <c r="CM619" s="53">
        <f t="shared" si="295"/>
        <v>29</v>
      </c>
      <c r="CN619" s="53">
        <f t="shared" si="295"/>
        <v>7</v>
      </c>
      <c r="CO619" s="53">
        <f t="shared" si="295"/>
        <v>164</v>
      </c>
      <c r="CP619" s="53">
        <f t="shared" si="295"/>
        <v>0</v>
      </c>
      <c r="CQ619" s="53">
        <f t="shared" si="295"/>
        <v>8</v>
      </c>
      <c r="CR619" s="53">
        <f t="shared" si="295"/>
        <v>0</v>
      </c>
      <c r="CS619" s="53">
        <f t="shared" si="295"/>
        <v>33</v>
      </c>
      <c r="CT619" s="53">
        <f t="shared" si="295"/>
        <v>122</v>
      </c>
      <c r="CU619" s="53">
        <f t="shared" si="295"/>
        <v>0</v>
      </c>
      <c r="CV619" s="53">
        <f t="shared" si="295"/>
        <v>52</v>
      </c>
      <c r="CW619" s="53">
        <f t="shared" si="295"/>
        <v>0</v>
      </c>
      <c r="CX619" s="53">
        <f t="shared" si="295"/>
        <v>0</v>
      </c>
      <c r="CY619" s="53">
        <f t="shared" si="295"/>
        <v>56</v>
      </c>
      <c r="CZ619" s="53">
        <f t="shared" si="295"/>
        <v>1</v>
      </c>
      <c r="DA619" s="53">
        <f t="shared" si="295"/>
        <v>4</v>
      </c>
      <c r="DB619" s="53">
        <f t="shared" si="295"/>
        <v>164</v>
      </c>
      <c r="DC619" s="53">
        <f t="shared" si="295"/>
        <v>35</v>
      </c>
      <c r="DD619" s="53">
        <f t="shared" si="295"/>
        <v>5</v>
      </c>
      <c r="DE619" s="53">
        <f t="shared" si="295"/>
        <v>1</v>
      </c>
      <c r="DF619" s="53">
        <f t="shared" si="295"/>
        <v>1</v>
      </c>
      <c r="DG619" s="53">
        <f t="shared" si="295"/>
        <v>73</v>
      </c>
      <c r="DH619" s="53">
        <f t="shared" si="295"/>
        <v>27</v>
      </c>
      <c r="DI619" s="53">
        <f t="shared" si="295"/>
        <v>46</v>
      </c>
      <c r="DJ619" s="53">
        <f t="shared" si="295"/>
        <v>18</v>
      </c>
      <c r="DK619" s="53">
        <f t="shared" si="295"/>
        <v>0</v>
      </c>
      <c r="DL619" s="53">
        <f t="shared" si="295"/>
        <v>3</v>
      </c>
      <c r="DM619" s="53">
        <f t="shared" si="295"/>
        <v>54</v>
      </c>
      <c r="DN619" s="53">
        <f t="shared" si="295"/>
        <v>1</v>
      </c>
      <c r="DO619" s="53">
        <f t="shared" si="295"/>
        <v>22</v>
      </c>
      <c r="DP619" s="53">
        <f t="shared" si="295"/>
        <v>0</v>
      </c>
      <c r="DQ619" s="53">
        <f t="shared" si="295"/>
        <v>2</v>
      </c>
      <c r="DR619" s="53">
        <f t="shared" si="295"/>
        <v>0</v>
      </c>
      <c r="DS619" s="53">
        <f t="shared" si="295"/>
        <v>32</v>
      </c>
      <c r="DT619" s="53">
        <f t="shared" si="295"/>
        <v>0</v>
      </c>
      <c r="DU619" s="53">
        <f t="shared" si="295"/>
        <v>2</v>
      </c>
      <c r="DV619" s="54">
        <f t="shared" si="286"/>
        <v>1518</v>
      </c>
      <c r="DW619" s="48"/>
    </row>
    <row r="620" spans="1:130" s="6" customFormat="1" ht="12" thickTop="1">
      <c r="A620" s="213" t="s">
        <v>245</v>
      </c>
      <c r="B620" s="24"/>
      <c r="C620" s="39">
        <f t="shared" ref="C620:R620" si="296">ROUND(IF(ISERROR(AVERAGE(C595:C618)),0,AVERAGE(C595:C618)),0)</f>
        <v>2</v>
      </c>
      <c r="D620" s="24">
        <f t="shared" si="296"/>
        <v>18</v>
      </c>
      <c r="E620" s="24">
        <f t="shared" si="296"/>
        <v>1</v>
      </c>
      <c r="F620" s="24">
        <f t="shared" si="296"/>
        <v>1</v>
      </c>
      <c r="G620" s="24">
        <f t="shared" si="296"/>
        <v>1</v>
      </c>
      <c r="H620" s="24">
        <f t="shared" si="296"/>
        <v>0</v>
      </c>
      <c r="I620" s="24">
        <f>ROUND(IF(ISERROR(AVERAGE(I595:I618)),0,AVERAGE(I595:I618)),0)</f>
        <v>0</v>
      </c>
      <c r="J620" s="24">
        <f t="shared" si="296"/>
        <v>26</v>
      </c>
      <c r="K620" s="24">
        <f t="shared" si="296"/>
        <v>1</v>
      </c>
      <c r="L620" s="24">
        <f t="shared" si="296"/>
        <v>0</v>
      </c>
      <c r="M620" s="24">
        <f t="shared" ref="M620:P620" si="297">ROUND(IF(ISERROR(AVERAGE(M595:M618)),0,AVERAGE(M595:M618)),0)</f>
        <v>0</v>
      </c>
      <c r="N620" s="24">
        <f t="shared" si="297"/>
        <v>0</v>
      </c>
      <c r="O620" s="24">
        <f>ROUND(IF(ISERROR(AVERAGE(O595:O618)),0,AVERAGE(O595:O618)),0)</f>
        <v>11</v>
      </c>
      <c r="P620" s="24">
        <f t="shared" si="297"/>
        <v>2</v>
      </c>
      <c r="Q620" s="24">
        <f t="shared" si="296"/>
        <v>0</v>
      </c>
      <c r="R620" s="24">
        <f t="shared" si="296"/>
        <v>0</v>
      </c>
      <c r="S620" s="31">
        <f>SUM(C620:R620)</f>
        <v>63</v>
      </c>
      <c r="T620" s="24">
        <f>ROUND(IF(ISERROR(AVERAGE(T595:T618)),0,AVERAGE(T595:T618)),0)</f>
        <v>0</v>
      </c>
      <c r="U620" s="24">
        <f>ROUND(IF(ISERROR(AVERAGE(U595:U618)),0,AVERAGE(U595:U618)),0)</f>
        <v>24</v>
      </c>
      <c r="V620" s="24">
        <f>ROUND(IF(ISERROR(AVERAGE(V595:V618)),0,AVERAGE(V595:V618)),0)</f>
        <v>20</v>
      </c>
      <c r="W620" s="24">
        <f>ROUND(IF(ISERROR(AVERAGE(W595:W618)),0,AVERAGE(W595:W618)),0)</f>
        <v>0</v>
      </c>
      <c r="X620" s="40">
        <f>ROUND(IF(ISERROR(AVERAGE(X595:X618)),0,AVERAGE(X595:X618)),0)</f>
        <v>0</v>
      </c>
      <c r="Z620" s="39">
        <f>ROUND(IF(ISERROR(AVERAGE(Z595:Z618)),0,AVERAGE(Z595:Z618)),0)</f>
        <v>2649643</v>
      </c>
      <c r="AA620" s="24">
        <f>ROUND(IF(ISERROR(AVERAGE(AA595:AA618)),0,AVERAGE(AA595:AA618)),0)</f>
        <v>0</v>
      </c>
      <c r="AB620" s="24"/>
      <c r="AC620" s="39">
        <f>ROUND(IF(ISERROR(AVERAGE(AC595:AC618)),0,AVERAGE(AC595:AC618)),0)</f>
        <v>724125</v>
      </c>
      <c r="AD620" s="24">
        <f>ROUND(IF(ISERROR(AVERAGE(AD595:AD618)),0,AVERAGE(AD595:AD618)),0)</f>
        <v>0</v>
      </c>
      <c r="AE620" s="31">
        <f>SUM(AC620:AD620)</f>
        <v>724125</v>
      </c>
      <c r="AG620" s="39">
        <f>ROUND(IF(ISERROR(AVERAGE(AG595:AG618)),0,AVERAGE(AG595:AG618)),0)</f>
        <v>75</v>
      </c>
      <c r="AH620" s="24">
        <f>ROUND(IF(ISERROR(AVERAGE(AH595:AH618)),0,AVERAGE(AH595:AH618)),0)</f>
        <v>70</v>
      </c>
      <c r="AI620" s="24">
        <f>ROUND(IF(ISERROR(AVERAGE(AI595:AI618)),0,AVERAGE(AI595:AI618)),0)</f>
        <v>156</v>
      </c>
      <c r="AJ620" s="40">
        <f>ROUND(IF(ISERROR(AVERAGE(AJ595:AJ618)),0,AVERAGE(AJ595:AJ618)),0)</f>
        <v>0</v>
      </c>
      <c r="AL620" s="39">
        <f>ROUND(IF(ISERROR(AVERAGE(AL595:AL618)),0,AVERAGE(AL595:AL618)),0)</f>
        <v>0</v>
      </c>
      <c r="AM620" s="24">
        <f>ROUND(IF(ISERROR(AVERAGE(AM595:AM618)),0,AVERAGE(AM595:AM618)),0)</f>
        <v>43</v>
      </c>
      <c r="AN620" s="31">
        <f>SUM(AL620:AM620)</f>
        <v>43</v>
      </c>
      <c r="AO620" s="285"/>
      <c r="AP620" s="285"/>
      <c r="AQ620" s="281"/>
      <c r="AR620" s="24">
        <f>ROUND(IF(ISERROR(AVERAGE(AR595:AR618)),0,AVERAGE(AR595:AR618)),0)</f>
        <v>137</v>
      </c>
      <c r="AS620" s="24">
        <f>ROUND(IF(ISERROR(AVERAGE(AS595:AS618)),0,AVERAGE(AS595:AS618)),0)</f>
        <v>53</v>
      </c>
      <c r="AT620" s="24">
        <f>ROUND(IF(ISERROR(AVERAGE(AT595:AT618)),0,AVERAGE(AT595:AT618)),0)</f>
        <v>115</v>
      </c>
      <c r="AU620" s="24">
        <f>ROUND(IF(ISERROR(AVERAGE(AU595:AU618)),0,AVERAGE(AU595:AU618)),0)</f>
        <v>17</v>
      </c>
      <c r="AV620" s="40">
        <f>ROUND(IF(ISERROR(AVERAGE(AV595:AV618)),0,AVERAGE(AV595:AV618)),0)</f>
        <v>220</v>
      </c>
      <c r="AX620" s="330"/>
      <c r="AY620" s="40">
        <f>ROUND(IF(ISERROR(AVERAGE(AY595:AY618)),0,AVERAGE(AY595:AY618)),0)</f>
        <v>-2</v>
      </c>
      <c r="BA620" s="39">
        <f t="shared" ref="BA620:BM620" si="298">ROUND(IF(ISERROR(AVERAGE(BA595:BA618)),0,AVERAGE(BA595:BA618)),0)</f>
        <v>1871</v>
      </c>
      <c r="BB620" s="24">
        <f t="shared" si="298"/>
        <v>50730100</v>
      </c>
      <c r="BC620" s="24">
        <f t="shared" si="298"/>
        <v>0</v>
      </c>
      <c r="BD620" s="24"/>
      <c r="BE620" s="24">
        <f t="shared" si="298"/>
        <v>93</v>
      </c>
      <c r="BF620" s="24">
        <f t="shared" si="298"/>
        <v>3</v>
      </c>
      <c r="BG620" s="24">
        <f t="shared" si="298"/>
        <v>3</v>
      </c>
      <c r="BH620" s="31"/>
      <c r="BI620" s="24">
        <f t="shared" si="298"/>
        <v>3635318</v>
      </c>
      <c r="BJ620" s="340"/>
      <c r="BK620" s="340"/>
      <c r="BL620" s="305">
        <f>AVERAGE(BL595:BL618)</f>
        <v>14.416666666666666</v>
      </c>
      <c r="BM620" s="40">
        <f t="shared" si="298"/>
        <v>0</v>
      </c>
      <c r="BO620" s="39">
        <f>ROUND(IF(ISERROR(AVERAGE(BO595:BO618)),0,AVERAGE(BO595:BO618)),0)</f>
        <v>0</v>
      </c>
      <c r="BP620" s="40">
        <f>ROUND(IF(ISERROR(AVERAGE(BP595:BP618)),0,AVERAGE(BP595:BP618)),0)</f>
        <v>162</v>
      </c>
      <c r="BR620" s="65" t="s">
        <v>221</v>
      </c>
      <c r="BS620" s="19"/>
      <c r="BT620" s="14"/>
      <c r="BV620" s="39">
        <f>ROUND(IF(ISERROR(AVERAGE(BV595:BV618)),0,AVERAGE(BV595:BV618)),0)</f>
        <v>3</v>
      </c>
      <c r="BW620" s="24">
        <f>ROUND(IF(ISERROR(AVERAGE(BW595:BW618)),0,AVERAGE(BW595:BW618)),0)</f>
        <v>1</v>
      </c>
      <c r="BX620" s="24">
        <f t="shared" ref="BX620:DU620" si="299">ROUND(IF(ISERROR(AVERAGE(BX595:BX618)),0,AVERAGE(BX595:BX618)),0)</f>
        <v>1</v>
      </c>
      <c r="BY620" s="24">
        <f t="shared" si="299"/>
        <v>0</v>
      </c>
      <c r="BZ620" s="24">
        <f t="shared" si="299"/>
        <v>1</v>
      </c>
      <c r="CA620" s="24">
        <f t="shared" si="299"/>
        <v>0</v>
      </c>
      <c r="CB620" s="24">
        <f t="shared" si="299"/>
        <v>0</v>
      </c>
      <c r="CC620" s="24">
        <f t="shared" si="299"/>
        <v>0</v>
      </c>
      <c r="CD620" s="24">
        <f t="shared" si="299"/>
        <v>5</v>
      </c>
      <c r="CE620" s="24">
        <f t="shared" si="299"/>
        <v>1</v>
      </c>
      <c r="CF620" s="24">
        <f t="shared" si="299"/>
        <v>0</v>
      </c>
      <c r="CG620" s="24">
        <f t="shared" si="299"/>
        <v>0</v>
      </c>
      <c r="CH620" s="24">
        <f t="shared" si="299"/>
        <v>1</v>
      </c>
      <c r="CI620" s="24">
        <f t="shared" si="299"/>
        <v>4</v>
      </c>
      <c r="CJ620" s="24">
        <f t="shared" si="299"/>
        <v>6</v>
      </c>
      <c r="CK620" s="24">
        <f t="shared" si="299"/>
        <v>0</v>
      </c>
      <c r="CL620" s="24">
        <f t="shared" si="299"/>
        <v>0</v>
      </c>
      <c r="CM620" s="24">
        <f t="shared" si="299"/>
        <v>1</v>
      </c>
      <c r="CN620" s="24">
        <f t="shared" si="299"/>
        <v>0</v>
      </c>
      <c r="CO620" s="24">
        <f t="shared" si="299"/>
        <v>7</v>
      </c>
      <c r="CP620" s="24">
        <f t="shared" si="299"/>
        <v>0</v>
      </c>
      <c r="CQ620" s="24">
        <f t="shared" si="299"/>
        <v>0</v>
      </c>
      <c r="CR620" s="24">
        <f t="shared" si="299"/>
        <v>0</v>
      </c>
      <c r="CS620" s="24">
        <f t="shared" si="299"/>
        <v>1</v>
      </c>
      <c r="CT620" s="24">
        <f t="shared" si="299"/>
        <v>5</v>
      </c>
      <c r="CU620" s="24">
        <f t="shared" si="299"/>
        <v>0</v>
      </c>
      <c r="CV620" s="24">
        <f t="shared" si="299"/>
        <v>2</v>
      </c>
      <c r="CW620" s="24">
        <f t="shared" si="299"/>
        <v>0</v>
      </c>
      <c r="CX620" s="24">
        <f t="shared" si="299"/>
        <v>0</v>
      </c>
      <c r="CY620" s="24">
        <f t="shared" si="299"/>
        <v>2</v>
      </c>
      <c r="CZ620" s="24">
        <f t="shared" si="299"/>
        <v>0</v>
      </c>
      <c r="DA620" s="24">
        <f t="shared" si="299"/>
        <v>0</v>
      </c>
      <c r="DB620" s="24">
        <f t="shared" si="299"/>
        <v>7</v>
      </c>
      <c r="DC620" s="24">
        <f t="shared" si="299"/>
        <v>1</v>
      </c>
      <c r="DD620" s="24">
        <f t="shared" si="299"/>
        <v>0</v>
      </c>
      <c r="DE620" s="24">
        <f t="shared" si="299"/>
        <v>0</v>
      </c>
      <c r="DF620" s="24">
        <f t="shared" si="299"/>
        <v>0</v>
      </c>
      <c r="DG620" s="24">
        <f t="shared" si="299"/>
        <v>3</v>
      </c>
      <c r="DH620" s="24">
        <f t="shared" si="299"/>
        <v>1</v>
      </c>
      <c r="DI620" s="24">
        <f t="shared" si="299"/>
        <v>2</v>
      </c>
      <c r="DJ620" s="24">
        <f t="shared" si="299"/>
        <v>1</v>
      </c>
      <c r="DK620" s="24">
        <f t="shared" si="299"/>
        <v>0</v>
      </c>
      <c r="DL620" s="24">
        <f t="shared" si="299"/>
        <v>0</v>
      </c>
      <c r="DM620" s="24">
        <f t="shared" si="299"/>
        <v>2</v>
      </c>
      <c r="DN620" s="24">
        <f t="shared" si="299"/>
        <v>0</v>
      </c>
      <c r="DO620" s="24">
        <f t="shared" si="299"/>
        <v>1</v>
      </c>
      <c r="DP620" s="24">
        <f t="shared" si="299"/>
        <v>0</v>
      </c>
      <c r="DQ620" s="24">
        <f t="shared" si="299"/>
        <v>0</v>
      </c>
      <c r="DR620" s="24">
        <f t="shared" si="299"/>
        <v>0</v>
      </c>
      <c r="DS620" s="24">
        <f t="shared" si="299"/>
        <v>1</v>
      </c>
      <c r="DT620" s="24">
        <f t="shared" si="299"/>
        <v>0</v>
      </c>
      <c r="DU620" s="24">
        <f t="shared" si="299"/>
        <v>0</v>
      </c>
      <c r="DV620" s="18"/>
      <c r="DW620" s="48"/>
    </row>
    <row r="621" spans="1:130" customFormat="1">
      <c r="A621" s="210" t="s">
        <v>246</v>
      </c>
      <c r="B621" s="211"/>
      <c r="C621" s="8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30">
        <f>MEDIAN(S595:S618)</f>
        <v>60</v>
      </c>
      <c r="T621" s="10"/>
      <c r="U621" s="10"/>
      <c r="V621" s="10"/>
      <c r="W621" s="10"/>
      <c r="X621" s="5"/>
      <c r="Y621" s="10"/>
      <c r="Z621" s="8"/>
      <c r="AA621" s="10" t="str">
        <f>IF(ISERROR(MEDIAN(AA595:AA618)),"",MEDIAN(AA595:AA618))</f>
        <v/>
      </c>
      <c r="AB621" s="10"/>
      <c r="AC621" s="8"/>
      <c r="AD621" s="10"/>
      <c r="AE621" s="30"/>
      <c r="AF621" s="10"/>
      <c r="AG621" s="8"/>
      <c r="AH621" s="10"/>
      <c r="AI621" s="10">
        <f>IF(ISERROR(MEDIAN(AI595:AI618)),"",MEDIAN(AI595:AI618))</f>
        <v>160.5</v>
      </c>
      <c r="AJ621" s="5" t="str">
        <f>IF(ISERROR(MEDIAN(AJ595:AJ618)),"",MEDIAN(AJ595:AJ618))</f>
        <v/>
      </c>
      <c r="AK621" s="10"/>
      <c r="AL621" s="8"/>
      <c r="AM621" s="10"/>
      <c r="AN621" s="30"/>
      <c r="AO621" s="10"/>
      <c r="AP621" s="10"/>
      <c r="AQ621" s="30"/>
      <c r="AR621" s="10"/>
      <c r="AS621" s="10"/>
      <c r="AT621" s="10"/>
      <c r="AU621" s="10"/>
      <c r="AV621" s="5"/>
      <c r="AW621" s="10"/>
      <c r="AX621" s="326"/>
      <c r="AY621" s="5"/>
      <c r="AZ621" s="10"/>
      <c r="BA621" s="8">
        <f>IF(ISERROR(MEDIAN(BA595:BA618)),"",MEDIAN(BA595:BA618))</f>
        <v>1871</v>
      </c>
      <c r="BB621" s="10"/>
      <c r="BC621" s="10"/>
      <c r="BD621" s="10"/>
      <c r="BE621" s="10"/>
      <c r="BF621" s="10"/>
      <c r="BG621" s="10"/>
      <c r="BH621" s="30"/>
      <c r="BI621" s="10"/>
      <c r="BJ621" s="338"/>
      <c r="BK621" s="338"/>
      <c r="BL621" s="303"/>
      <c r="BM621" s="5"/>
      <c r="BN621" s="10"/>
      <c r="BO621" s="8"/>
      <c r="BP621" s="5"/>
      <c r="BQ621" s="10"/>
      <c r="BR621" s="65"/>
      <c r="BS621" s="19"/>
      <c r="BT621" s="14"/>
      <c r="BU621" s="10"/>
      <c r="BV621" s="8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  <c r="DD621" s="10"/>
      <c r="DE621" s="10"/>
      <c r="DF621" s="10"/>
      <c r="DG621" s="10"/>
      <c r="DH621" s="10"/>
      <c r="DI621" s="10"/>
      <c r="DJ621" s="10"/>
      <c r="DK621" s="10"/>
      <c r="DL621" s="10"/>
      <c r="DM621" s="10"/>
      <c r="DN621" s="10"/>
      <c r="DO621" s="10"/>
      <c r="DP621" s="10"/>
      <c r="DQ621" s="10"/>
      <c r="DR621" s="10"/>
      <c r="DS621" s="10"/>
      <c r="DT621" s="10"/>
      <c r="DU621" s="10"/>
      <c r="DV621" s="5"/>
      <c r="DW621" s="21"/>
    </row>
    <row r="622" spans="1:130" customFormat="1" ht="12" thickBot="1">
      <c r="A622" s="214" t="s">
        <v>244</v>
      </c>
      <c r="B622" s="195"/>
      <c r="C622" s="41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32">
        <f>MODE(S595:S618)</f>
        <v>60</v>
      </c>
      <c r="T622" s="22"/>
      <c r="U622" s="63"/>
      <c r="V622" s="63"/>
      <c r="W622" s="22"/>
      <c r="X622" s="42"/>
      <c r="Y622" s="22"/>
      <c r="Z622" s="41"/>
      <c r="AA622" s="22"/>
      <c r="AB622" s="22"/>
      <c r="AC622" s="41"/>
      <c r="AD622" s="22"/>
      <c r="AE622" s="32"/>
      <c r="AF622" s="22"/>
      <c r="AG622" s="41"/>
      <c r="AH622" s="22"/>
      <c r="AI622" s="22">
        <f>IF(ISERROR(MODE(AI595:AI618)),"",MODE(AI595:AI618))</f>
        <v>100</v>
      </c>
      <c r="AJ622" s="42" t="str">
        <f>IF(ISERROR(MODE(AJ595:AJ618)),"",MODE(AJ595:AJ618))</f>
        <v/>
      </c>
      <c r="AK622" s="22"/>
      <c r="AL622" s="41"/>
      <c r="AM622" s="22"/>
      <c r="AN622" s="32"/>
      <c r="AO622" s="22"/>
      <c r="AP622" s="22"/>
      <c r="AQ622" s="32"/>
      <c r="AR622" s="22"/>
      <c r="AS622" s="22"/>
      <c r="AT622" s="22"/>
      <c r="AU622" s="22"/>
      <c r="AV622" s="42"/>
      <c r="AW622" s="22"/>
      <c r="AX622" s="331"/>
      <c r="AY622" s="42"/>
      <c r="AZ622" s="22"/>
      <c r="BA622" s="41"/>
      <c r="BB622" s="22"/>
      <c r="BC622" s="22"/>
      <c r="BD622" s="22"/>
      <c r="BE622" s="22"/>
      <c r="BF622" s="22"/>
      <c r="BG622" s="22"/>
      <c r="BH622" s="32"/>
      <c r="BI622" s="22"/>
      <c r="BJ622" s="341"/>
      <c r="BK622" s="341"/>
      <c r="BL622" s="306"/>
      <c r="BM622" s="42"/>
      <c r="BN622" s="22"/>
      <c r="BO622" s="41"/>
      <c r="BP622" s="42"/>
      <c r="BQ622" s="22"/>
      <c r="BR622" s="66"/>
      <c r="BS622" s="51"/>
      <c r="BT622" s="67"/>
      <c r="BU622" s="22"/>
      <c r="BV622" s="41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2"/>
      <c r="CP622" s="22"/>
      <c r="CQ622" s="22"/>
      <c r="CR622" s="22"/>
      <c r="CS622" s="22"/>
      <c r="CT622" s="22"/>
      <c r="CU622" s="22"/>
      <c r="CV622" s="22"/>
      <c r="CW622" s="22"/>
      <c r="CX622" s="22"/>
      <c r="CY622" s="22"/>
      <c r="CZ622" s="22"/>
      <c r="DA622" s="22"/>
      <c r="DB622" s="22"/>
      <c r="DC622" s="22"/>
      <c r="DD622" s="22"/>
      <c r="DE622" s="22"/>
      <c r="DF622" s="22"/>
      <c r="DG622" s="22"/>
      <c r="DH622" s="22"/>
      <c r="DI622" s="22"/>
      <c r="DJ622" s="22"/>
      <c r="DK622" s="22"/>
      <c r="DL622" s="22"/>
      <c r="DM622" s="22"/>
      <c r="DN622" s="22"/>
      <c r="DO622" s="22"/>
      <c r="DP622" s="22"/>
      <c r="DQ622" s="22"/>
      <c r="DR622" s="22"/>
      <c r="DS622" s="22"/>
      <c r="DT622" s="22"/>
      <c r="DU622" s="22"/>
      <c r="DV622" s="42"/>
      <c r="DW622" s="23"/>
    </row>
    <row r="623" spans="1:130" customFormat="1">
      <c r="A623" s="194" t="s">
        <v>182</v>
      </c>
      <c r="B623" s="194"/>
      <c r="C623" s="8">
        <f>COUNTA(C595:C618)</f>
        <v>24</v>
      </c>
      <c r="D623" s="10"/>
      <c r="E623" s="10"/>
      <c r="F623" s="10">
        <f>SUM(C619:F619)</f>
        <v>533</v>
      </c>
      <c r="G623" s="98">
        <f>G619/F623</f>
        <v>3.3771106941838651E-2</v>
      </c>
      <c r="H623" s="104">
        <f>H619/S619</f>
        <v>6.587615283267457E-3</v>
      </c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30"/>
      <c r="T623" s="10"/>
      <c r="U623" s="98">
        <f>U619/S619</f>
        <v>0.38208168642951251</v>
      </c>
      <c r="V623" s="98">
        <f>V619/S619</f>
        <v>0.30895915678524372</v>
      </c>
      <c r="W623" s="276">
        <f>W619/S619</f>
        <v>0</v>
      </c>
      <c r="X623" s="276">
        <f>X619/S619</f>
        <v>1.3175230566534915E-3</v>
      </c>
      <c r="Y623" s="10"/>
      <c r="Z623" s="8"/>
      <c r="AA623" s="10"/>
      <c r="AB623" s="10"/>
      <c r="AC623" s="8"/>
      <c r="AD623" s="10"/>
      <c r="AE623" s="30"/>
      <c r="AF623" s="10"/>
      <c r="AG623" s="8"/>
      <c r="AH623" s="10"/>
      <c r="AI623" s="10"/>
      <c r="AJ623" s="5"/>
      <c r="AK623" s="10"/>
      <c r="AL623" s="8"/>
      <c r="AM623" s="10"/>
      <c r="AN623" s="30"/>
      <c r="AO623" s="10"/>
      <c r="AP623" s="10"/>
      <c r="AQ623" s="30"/>
      <c r="AR623" s="10"/>
      <c r="AS623" s="10"/>
      <c r="AT623" s="10"/>
      <c r="AU623" s="10"/>
      <c r="AV623" s="5"/>
      <c r="AW623" s="10"/>
      <c r="AX623" s="326"/>
      <c r="AY623" s="5"/>
      <c r="AZ623" s="10"/>
      <c r="BA623" s="8"/>
      <c r="BB623" s="10"/>
      <c r="BC623" s="10"/>
      <c r="BD623" s="10"/>
      <c r="BE623" s="10"/>
      <c r="BF623" s="10"/>
      <c r="BG623" s="10"/>
      <c r="BH623" s="30"/>
      <c r="BI623" s="10"/>
      <c r="BJ623" s="338"/>
      <c r="BK623" s="338"/>
      <c r="BL623" s="303"/>
      <c r="BM623" s="5"/>
      <c r="BN623" s="10"/>
      <c r="BO623" s="8"/>
      <c r="BP623" s="5"/>
      <c r="BQ623" s="10"/>
      <c r="BR623" s="65"/>
      <c r="BS623" s="19"/>
      <c r="BT623" s="14"/>
      <c r="BU623" s="10"/>
      <c r="BV623" s="8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  <c r="DD623" s="10"/>
      <c r="DE623" s="10"/>
      <c r="DF623" s="10"/>
      <c r="DG623" s="10"/>
      <c r="DH623" s="10"/>
      <c r="DI623" s="10"/>
      <c r="DJ623" s="10"/>
      <c r="DK623" s="10"/>
      <c r="DL623" s="10"/>
      <c r="DM623" s="10"/>
      <c r="DN623" s="10"/>
      <c r="DO623" s="10"/>
      <c r="DP623" s="10"/>
      <c r="DQ623" s="10"/>
      <c r="DR623" s="10"/>
      <c r="DS623" s="10"/>
      <c r="DT623" s="10"/>
      <c r="DU623" s="10"/>
      <c r="DV623" s="5"/>
      <c r="DW623" s="10"/>
    </row>
    <row r="624" spans="1:130" customFormat="1">
      <c r="A624" s="194"/>
      <c r="B624" s="194"/>
      <c r="C624" s="8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30"/>
      <c r="T624" s="10"/>
      <c r="U624" s="10"/>
      <c r="V624" s="10"/>
      <c r="W624" s="10"/>
      <c r="X624" s="5"/>
      <c r="Y624" s="10"/>
      <c r="Z624" s="8"/>
      <c r="AA624" s="10"/>
      <c r="AB624" s="10"/>
      <c r="AC624" s="8"/>
      <c r="AD624" s="10"/>
      <c r="AE624" s="30"/>
      <c r="AF624" s="10"/>
      <c r="AG624" s="8"/>
      <c r="AH624" s="10"/>
      <c r="AI624" s="10"/>
      <c r="AJ624" s="5"/>
      <c r="AK624" s="10"/>
      <c r="AL624" s="8"/>
      <c r="AM624" s="10"/>
      <c r="AN624" s="30"/>
      <c r="AO624" s="10"/>
      <c r="AP624" s="10"/>
      <c r="AQ624" s="30"/>
      <c r="AR624" s="10"/>
      <c r="AS624" s="10"/>
      <c r="AT624" s="10"/>
      <c r="AU624" s="10"/>
      <c r="AV624" s="5"/>
      <c r="AW624" s="10"/>
      <c r="AX624" s="326"/>
      <c r="AY624" s="5"/>
      <c r="AZ624" s="10"/>
      <c r="BA624" s="8"/>
      <c r="BB624" s="10"/>
      <c r="BC624" s="10"/>
      <c r="BD624" s="10"/>
      <c r="BE624" s="10"/>
      <c r="BF624" s="10"/>
      <c r="BG624" s="10"/>
      <c r="BH624" s="30"/>
      <c r="BI624" s="10"/>
      <c r="BJ624" s="338"/>
      <c r="BK624" s="338"/>
      <c r="BL624" s="303"/>
      <c r="BM624" s="5"/>
      <c r="BN624" s="10"/>
      <c r="BO624" s="8"/>
      <c r="BP624" s="5"/>
      <c r="BQ624" s="10"/>
      <c r="BR624" s="65"/>
      <c r="BS624" s="19"/>
      <c r="BT624" s="14"/>
      <c r="BU624" s="10"/>
      <c r="BV624" s="8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0"/>
      <c r="DE624" s="10"/>
      <c r="DF624" s="10"/>
      <c r="DG624" s="10"/>
      <c r="DH624" s="10"/>
      <c r="DI624" s="10"/>
      <c r="DJ624" s="10"/>
      <c r="DK624" s="10"/>
      <c r="DL624" s="10"/>
      <c r="DM624" s="10"/>
      <c r="DN624" s="10"/>
      <c r="DO624" s="10"/>
      <c r="DP624" s="10"/>
      <c r="DQ624" s="10"/>
      <c r="DR624" s="10"/>
      <c r="DS624" s="10"/>
      <c r="DT624" s="10"/>
      <c r="DU624" s="10"/>
      <c r="DV624" s="5"/>
      <c r="DW624" s="10"/>
    </row>
    <row r="625" spans="1:130" customFormat="1" ht="12" thickBot="1">
      <c r="A625" s="194"/>
      <c r="B625" s="194"/>
      <c r="C625" s="8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30"/>
      <c r="T625" s="10"/>
      <c r="U625" s="10"/>
      <c r="V625" s="10"/>
      <c r="W625" s="10"/>
      <c r="X625" s="5"/>
      <c r="Y625" s="10"/>
      <c r="Z625" s="8"/>
      <c r="AA625" s="10"/>
      <c r="AB625" s="10"/>
      <c r="AC625" s="8"/>
      <c r="AD625" s="10"/>
      <c r="AE625" s="30"/>
      <c r="AF625" s="10"/>
      <c r="AG625" s="8"/>
      <c r="AH625" s="10"/>
      <c r="AI625" s="10"/>
      <c r="AJ625" s="5"/>
      <c r="AK625" s="10"/>
      <c r="AL625" s="8"/>
      <c r="AM625" s="10"/>
      <c r="AN625" s="30"/>
      <c r="AO625" s="10"/>
      <c r="AP625" s="10"/>
      <c r="AQ625" s="30"/>
      <c r="AR625" s="10"/>
      <c r="AS625" s="10"/>
      <c r="AT625" s="10"/>
      <c r="AU625" s="10"/>
      <c r="AV625" s="5"/>
      <c r="AW625" s="10"/>
      <c r="AX625" s="326"/>
      <c r="AY625" s="5"/>
      <c r="AZ625" s="10"/>
      <c r="BA625" s="8"/>
      <c r="BB625" s="10"/>
      <c r="BC625" s="10"/>
      <c r="BD625" s="10"/>
      <c r="BE625" s="10"/>
      <c r="BF625" s="10"/>
      <c r="BG625" s="10"/>
      <c r="BH625" s="30"/>
      <c r="BI625" s="10"/>
      <c r="BJ625" s="338"/>
      <c r="BK625" s="338"/>
      <c r="BL625" s="303"/>
      <c r="BM625" s="5"/>
      <c r="BN625" s="10"/>
      <c r="BO625" s="8"/>
      <c r="BP625" s="5"/>
      <c r="BQ625" s="10"/>
      <c r="BR625" s="65"/>
      <c r="BS625" s="19"/>
      <c r="BT625" s="14"/>
      <c r="BU625" s="10"/>
      <c r="BV625" s="8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  <c r="DF625" s="10"/>
      <c r="DG625" s="10"/>
      <c r="DH625" s="10"/>
      <c r="DI625" s="10"/>
      <c r="DJ625" s="10"/>
      <c r="DK625" s="10"/>
      <c r="DL625" s="10"/>
      <c r="DM625" s="10"/>
      <c r="DN625" s="10"/>
      <c r="DO625" s="10"/>
      <c r="DP625" s="10"/>
      <c r="DQ625" s="10"/>
      <c r="DR625" s="10"/>
      <c r="DS625" s="10"/>
      <c r="DT625" s="10"/>
      <c r="DU625" s="10"/>
      <c r="DV625" s="5"/>
      <c r="DW625" s="10"/>
    </row>
    <row r="626" spans="1:130" customFormat="1">
      <c r="A626" s="208">
        <v>39630</v>
      </c>
      <c r="B626" s="209"/>
      <c r="C626" s="36">
        <v>12</v>
      </c>
      <c r="D626" s="9">
        <v>24</v>
      </c>
      <c r="E626" s="9">
        <v>1</v>
      </c>
      <c r="F626" s="9">
        <v>2</v>
      </c>
      <c r="G626" s="9">
        <v>3</v>
      </c>
      <c r="H626" s="9">
        <v>0</v>
      </c>
      <c r="I626" s="9">
        <v>0</v>
      </c>
      <c r="J626" s="9">
        <v>13</v>
      </c>
      <c r="K626" s="9">
        <v>0</v>
      </c>
      <c r="L626" s="9">
        <v>0</v>
      </c>
      <c r="M626" s="9">
        <v>0</v>
      </c>
      <c r="N626" s="9">
        <v>0</v>
      </c>
      <c r="O626" s="9">
        <v>11</v>
      </c>
      <c r="P626" s="9">
        <v>0</v>
      </c>
      <c r="Q626" s="9">
        <v>0</v>
      </c>
      <c r="R626" s="9">
        <v>0</v>
      </c>
      <c r="S626" s="33">
        <f>SUM(C626:R626)</f>
        <v>66</v>
      </c>
      <c r="T626" s="9"/>
      <c r="U626" s="9">
        <v>27</v>
      </c>
      <c r="V626" s="9">
        <v>21</v>
      </c>
      <c r="W626" s="9">
        <v>0</v>
      </c>
      <c r="X626" s="37">
        <v>0</v>
      </c>
      <c r="Y626" s="9"/>
      <c r="Z626" s="91">
        <v>3402240</v>
      </c>
      <c r="AA626" s="99"/>
      <c r="AB626" s="99"/>
      <c r="AC626" s="91">
        <v>1479347</v>
      </c>
      <c r="AD626" s="9"/>
      <c r="AE626" s="33">
        <f t="shared" ref="AE626:AE649" si="300">SUM(AC626:AD626)</f>
        <v>1479347</v>
      </c>
      <c r="AF626" s="9"/>
      <c r="AG626" s="91">
        <v>151</v>
      </c>
      <c r="AH626" s="92">
        <v>70</v>
      </c>
      <c r="AI626" s="92">
        <v>232</v>
      </c>
      <c r="AJ626" s="93"/>
      <c r="AK626" s="9"/>
      <c r="AL626" s="36">
        <v>0</v>
      </c>
      <c r="AM626" s="9">
        <v>34</v>
      </c>
      <c r="AN626" s="33">
        <f>SUM(AL626:AM626)</f>
        <v>34</v>
      </c>
      <c r="AO626" s="280"/>
      <c r="AP626" s="280"/>
      <c r="AQ626" s="282"/>
      <c r="AR626" s="92">
        <v>138</v>
      </c>
      <c r="AS626" s="92"/>
      <c r="AT626" s="92"/>
      <c r="AU626" s="92"/>
      <c r="AV626" s="93"/>
      <c r="AW626" s="9"/>
      <c r="AX626" s="325">
        <v>39629</v>
      </c>
      <c r="AY626" s="37">
        <v>-1</v>
      </c>
      <c r="AZ626" s="9"/>
      <c r="BA626" s="36">
        <v>1879</v>
      </c>
      <c r="BB626" s="9">
        <v>54166740</v>
      </c>
      <c r="BC626" s="92"/>
      <c r="BD626" s="92"/>
      <c r="BE626" s="92">
        <v>106</v>
      </c>
      <c r="BF626" s="92">
        <v>7</v>
      </c>
      <c r="BG626" s="92">
        <v>1</v>
      </c>
      <c r="BH626" s="352"/>
      <c r="BI626" s="9">
        <v>5217215</v>
      </c>
      <c r="BJ626" s="337">
        <v>39639</v>
      </c>
      <c r="BK626" s="337">
        <v>39701</v>
      </c>
      <c r="BL626" s="319">
        <f>BK626-BJ626</f>
        <v>62</v>
      </c>
      <c r="BM626" s="93"/>
      <c r="BN626" s="9"/>
      <c r="BO626" s="36"/>
      <c r="BP626" s="37">
        <v>161</v>
      </c>
      <c r="BQ626" s="9"/>
      <c r="BR626" s="74">
        <v>2009</v>
      </c>
      <c r="BS626" s="75">
        <v>2008</v>
      </c>
      <c r="BT626" s="13">
        <v>13</v>
      </c>
      <c r="BU626" s="9"/>
      <c r="BV626" s="36">
        <v>12</v>
      </c>
      <c r="BW626" s="9">
        <v>2</v>
      </c>
      <c r="BX626" s="9">
        <v>0</v>
      </c>
      <c r="BY626" s="9">
        <v>0</v>
      </c>
      <c r="BZ626" s="9">
        <v>0</v>
      </c>
      <c r="CA626" s="9">
        <v>0</v>
      </c>
      <c r="CB626" s="9">
        <v>0</v>
      </c>
      <c r="CC626" s="223"/>
      <c r="CD626" s="9">
        <v>1</v>
      </c>
      <c r="CE626" s="9">
        <v>0</v>
      </c>
      <c r="CF626" s="220">
        <v>0</v>
      </c>
      <c r="CG626" s="9">
        <v>0</v>
      </c>
      <c r="CH626" s="9">
        <v>1</v>
      </c>
      <c r="CI626" s="9">
        <v>12</v>
      </c>
      <c r="CJ626" s="9">
        <v>4</v>
      </c>
      <c r="CK626" s="9"/>
      <c r="CL626" s="9">
        <v>0</v>
      </c>
      <c r="CM626" s="9">
        <v>0</v>
      </c>
      <c r="CN626" s="9">
        <v>0</v>
      </c>
      <c r="CO626" s="9">
        <v>8</v>
      </c>
      <c r="CP626" s="220"/>
      <c r="CQ626" s="9">
        <v>0</v>
      </c>
      <c r="CR626" s="9"/>
      <c r="CS626" s="9">
        <v>0</v>
      </c>
      <c r="CT626" s="9">
        <v>3</v>
      </c>
      <c r="CU626" s="9">
        <v>0</v>
      </c>
      <c r="CV626" s="9">
        <v>4</v>
      </c>
      <c r="CW626" s="9">
        <v>0</v>
      </c>
      <c r="CX626" s="9"/>
      <c r="CY626" s="9">
        <v>2</v>
      </c>
      <c r="CZ626" s="9">
        <v>0</v>
      </c>
      <c r="DA626" s="9">
        <v>0</v>
      </c>
      <c r="DB626" s="9">
        <v>0</v>
      </c>
      <c r="DC626" s="9">
        <v>0</v>
      </c>
      <c r="DD626" s="9">
        <v>0</v>
      </c>
      <c r="DE626" s="9">
        <v>0</v>
      </c>
      <c r="DF626" s="9">
        <v>0</v>
      </c>
      <c r="DG626" s="9">
        <v>1</v>
      </c>
      <c r="DH626" s="9">
        <v>0</v>
      </c>
      <c r="DI626" s="9">
        <v>1</v>
      </c>
      <c r="DJ626" s="9">
        <v>1</v>
      </c>
      <c r="DK626" s="9">
        <v>0</v>
      </c>
      <c r="DL626" s="9">
        <v>3</v>
      </c>
      <c r="DM626" s="9">
        <v>7</v>
      </c>
      <c r="DN626" s="9">
        <v>0</v>
      </c>
      <c r="DO626" s="9">
        <v>0</v>
      </c>
      <c r="DP626" s="9">
        <v>0</v>
      </c>
      <c r="DQ626" s="9">
        <v>0</v>
      </c>
      <c r="DR626" s="9"/>
      <c r="DS626" s="9">
        <v>4</v>
      </c>
      <c r="DT626" s="9">
        <v>0</v>
      </c>
      <c r="DU626" s="9">
        <v>0</v>
      </c>
      <c r="DV626" s="44">
        <f>SUM(BV626:DU626)</f>
        <v>66</v>
      </c>
      <c r="DW626" s="13" t="str">
        <f t="shared" ref="DW626:DW649" si="301">IF(DV626=S626,"","PROB")</f>
        <v/>
      </c>
      <c r="DY626">
        <f>S626</f>
        <v>66</v>
      </c>
    </row>
    <row r="627" spans="1:130" customFormat="1">
      <c r="A627" s="210">
        <v>39644</v>
      </c>
      <c r="B627" s="211"/>
      <c r="C627" s="8">
        <v>8</v>
      </c>
      <c r="D627" s="10">
        <v>22</v>
      </c>
      <c r="E627" s="10">
        <v>1</v>
      </c>
      <c r="F627" s="59">
        <v>3</v>
      </c>
      <c r="G627" s="59">
        <v>1</v>
      </c>
      <c r="H627" s="59">
        <v>6</v>
      </c>
      <c r="I627" s="59">
        <v>0</v>
      </c>
      <c r="J627" s="59">
        <v>6</v>
      </c>
      <c r="K627" s="59">
        <v>0</v>
      </c>
      <c r="L627" s="59">
        <v>0</v>
      </c>
      <c r="M627" s="59">
        <v>0</v>
      </c>
      <c r="N627" s="59">
        <v>0</v>
      </c>
      <c r="O627" s="59">
        <v>14</v>
      </c>
      <c r="P627" s="59">
        <v>4</v>
      </c>
      <c r="Q627" s="59">
        <v>0</v>
      </c>
      <c r="R627" s="59">
        <v>0</v>
      </c>
      <c r="S627" s="35">
        <f>SUM(C627:R627)</f>
        <v>65</v>
      </c>
      <c r="T627" s="59"/>
      <c r="U627" s="59">
        <v>36</v>
      </c>
      <c r="V627" s="59">
        <v>28</v>
      </c>
      <c r="W627" s="59">
        <v>0</v>
      </c>
      <c r="X627" s="5">
        <v>0</v>
      </c>
      <c r="Y627" s="10"/>
      <c r="Z627" s="61">
        <v>3572224</v>
      </c>
      <c r="AA627" s="219"/>
      <c r="AB627" s="219"/>
      <c r="AC627" s="61">
        <v>1690058</v>
      </c>
      <c r="AD627" s="59"/>
      <c r="AE627" s="35">
        <f t="shared" si="300"/>
        <v>1690058</v>
      </c>
      <c r="AF627" s="10"/>
      <c r="AG627" s="61">
        <v>142</v>
      </c>
      <c r="AH627" s="59">
        <v>81</v>
      </c>
      <c r="AI627" s="59">
        <v>236</v>
      </c>
      <c r="AJ627" s="62"/>
      <c r="AK627" s="10"/>
      <c r="AL627" s="8"/>
      <c r="AM627" s="10"/>
      <c r="AN627" s="35"/>
      <c r="AO627" s="279"/>
      <c r="AP627" s="279"/>
      <c r="AQ627" s="281"/>
      <c r="AR627" s="59">
        <v>138</v>
      </c>
      <c r="AS627" s="59">
        <v>75</v>
      </c>
      <c r="AT627" s="59">
        <v>126</v>
      </c>
      <c r="AU627" s="59">
        <v>17</v>
      </c>
      <c r="AV627" s="62">
        <v>264</v>
      </c>
      <c r="AW627" s="10"/>
      <c r="AX627" s="326">
        <v>39643</v>
      </c>
      <c r="AY627" s="5">
        <v>-1</v>
      </c>
      <c r="AZ627" s="10"/>
      <c r="BA627" s="61"/>
      <c r="BB627" s="59"/>
      <c r="BC627" s="59"/>
      <c r="BD627" s="59"/>
      <c r="BE627" s="59"/>
      <c r="BF627" s="59"/>
      <c r="BG627" s="59"/>
      <c r="BH627" s="351"/>
      <c r="BI627" s="59"/>
      <c r="BJ627" s="342"/>
      <c r="BK627" s="335"/>
      <c r="BL627" s="320"/>
      <c r="BM627" s="62"/>
      <c r="BN627" s="10"/>
      <c r="BO627" s="8"/>
      <c r="BP627" s="62"/>
      <c r="BQ627" s="10"/>
      <c r="BR627" s="29">
        <v>2009</v>
      </c>
      <c r="BS627" s="64">
        <v>2008</v>
      </c>
      <c r="BT627" s="14">
        <v>14</v>
      </c>
      <c r="BU627" s="10"/>
      <c r="BV627" s="8">
        <v>2</v>
      </c>
      <c r="BW627" s="10">
        <v>0</v>
      </c>
      <c r="BX627" s="59">
        <v>2</v>
      </c>
      <c r="BY627" s="59">
        <v>0</v>
      </c>
      <c r="BZ627" s="59">
        <v>0</v>
      </c>
      <c r="CA627" s="59">
        <v>0</v>
      </c>
      <c r="CB627" s="59">
        <v>0</v>
      </c>
      <c r="CC627" s="221"/>
      <c r="CD627" s="59">
        <v>7</v>
      </c>
      <c r="CE627" s="59">
        <v>0</v>
      </c>
      <c r="CF627" s="317">
        <v>0</v>
      </c>
      <c r="CG627" s="59">
        <v>0</v>
      </c>
      <c r="CH627" s="59">
        <v>0</v>
      </c>
      <c r="CI627" s="59">
        <v>0</v>
      </c>
      <c r="CJ627" s="59">
        <v>1</v>
      </c>
      <c r="CK627" s="59"/>
      <c r="CL627" s="59">
        <v>0</v>
      </c>
      <c r="CM627" s="59">
        <v>0</v>
      </c>
      <c r="CN627" s="59">
        <v>0</v>
      </c>
      <c r="CO627" s="59">
        <v>4</v>
      </c>
      <c r="CP627" s="317"/>
      <c r="CQ627" s="59">
        <v>0</v>
      </c>
      <c r="CR627" s="59"/>
      <c r="CS627" s="59">
        <v>1</v>
      </c>
      <c r="CT627" s="59">
        <v>5</v>
      </c>
      <c r="CU627" s="59">
        <v>0</v>
      </c>
      <c r="CV627" s="59">
        <v>5</v>
      </c>
      <c r="CW627" s="59">
        <v>2</v>
      </c>
      <c r="CX627" s="59"/>
      <c r="CY627" s="59">
        <v>1</v>
      </c>
      <c r="CZ627" s="59">
        <v>0</v>
      </c>
      <c r="DA627" s="59">
        <v>1</v>
      </c>
      <c r="DB627" s="59">
        <v>16</v>
      </c>
      <c r="DC627" s="59">
        <v>0</v>
      </c>
      <c r="DD627" s="59">
        <v>0</v>
      </c>
      <c r="DE627" s="59">
        <v>0</v>
      </c>
      <c r="DF627" s="59">
        <v>0</v>
      </c>
      <c r="DG627" s="59">
        <v>2</v>
      </c>
      <c r="DH627" s="59">
        <v>6</v>
      </c>
      <c r="DI627" s="59">
        <v>1</v>
      </c>
      <c r="DJ627" s="59">
        <v>0</v>
      </c>
      <c r="DK627" s="59">
        <v>0</v>
      </c>
      <c r="DL627" s="59">
        <v>0</v>
      </c>
      <c r="DM627" s="59">
        <v>6</v>
      </c>
      <c r="DN627" s="59">
        <v>0</v>
      </c>
      <c r="DO627" s="59">
        <v>2</v>
      </c>
      <c r="DP627" s="59">
        <v>1</v>
      </c>
      <c r="DQ627" s="59">
        <v>0</v>
      </c>
      <c r="DR627" s="59"/>
      <c r="DS627" s="59">
        <v>0</v>
      </c>
      <c r="DT627" s="59">
        <v>0</v>
      </c>
      <c r="DU627" s="59">
        <v>0</v>
      </c>
      <c r="DV627" s="38">
        <f t="shared" ref="DV627:DV650" si="302">SUM(BV627:DU627)</f>
        <v>65</v>
      </c>
      <c r="DW627" s="14" t="str">
        <f t="shared" si="301"/>
        <v/>
      </c>
      <c r="DY627">
        <f>S627</f>
        <v>65</v>
      </c>
    </row>
    <row r="628" spans="1:130" customFormat="1">
      <c r="A628" s="210">
        <v>39661</v>
      </c>
      <c r="B628" s="211"/>
      <c r="C628" s="8">
        <v>7</v>
      </c>
      <c r="D628" s="10">
        <v>12</v>
      </c>
      <c r="E628" s="10">
        <v>1</v>
      </c>
      <c r="F628" s="59">
        <v>0</v>
      </c>
      <c r="G628" s="59">
        <v>1</v>
      </c>
      <c r="H628" s="59">
        <v>0</v>
      </c>
      <c r="I628" s="59">
        <v>0</v>
      </c>
      <c r="J628" s="59">
        <v>40</v>
      </c>
      <c r="K628" s="59">
        <v>1</v>
      </c>
      <c r="L628" s="59">
        <v>0</v>
      </c>
      <c r="M628" s="59">
        <v>0</v>
      </c>
      <c r="N628" s="59">
        <v>0</v>
      </c>
      <c r="O628" s="59">
        <v>5</v>
      </c>
      <c r="P628" s="59">
        <v>0</v>
      </c>
      <c r="Q628" s="59">
        <v>0</v>
      </c>
      <c r="R628" s="59">
        <v>0</v>
      </c>
      <c r="S628" s="35">
        <f>SUM(C628:R628)</f>
        <v>67</v>
      </c>
      <c r="T628" s="59"/>
      <c r="U628" s="59">
        <v>22</v>
      </c>
      <c r="V628" s="59">
        <v>20</v>
      </c>
      <c r="W628" s="59">
        <v>0</v>
      </c>
      <c r="X628" s="5">
        <v>0</v>
      </c>
      <c r="Y628" s="10"/>
      <c r="Z628" s="61">
        <v>3364864</v>
      </c>
      <c r="AA628" s="100"/>
      <c r="AB628" s="100"/>
      <c r="AC628" s="61">
        <v>842166</v>
      </c>
      <c r="AD628" s="59"/>
      <c r="AE628" s="35">
        <f t="shared" si="300"/>
        <v>842166</v>
      </c>
      <c r="AF628" s="10"/>
      <c r="AG628" s="61">
        <v>102</v>
      </c>
      <c r="AH628" s="59">
        <v>83</v>
      </c>
      <c r="AI628" s="59">
        <v>200</v>
      </c>
      <c r="AJ628" s="62"/>
      <c r="AK628" s="10"/>
      <c r="AL628" s="8"/>
      <c r="AM628" s="10"/>
      <c r="AN628" s="35"/>
      <c r="AO628" s="279"/>
      <c r="AP628" s="279"/>
      <c r="AQ628" s="281"/>
      <c r="AR628" s="59">
        <v>138</v>
      </c>
      <c r="AS628" s="59">
        <v>76</v>
      </c>
      <c r="AT628" s="59">
        <v>129</v>
      </c>
      <c r="AU628" s="59">
        <v>17</v>
      </c>
      <c r="AV628" s="62">
        <v>268</v>
      </c>
      <c r="AW628" s="10"/>
      <c r="AX628" s="326">
        <v>39660</v>
      </c>
      <c r="AY628" s="5">
        <v>-1</v>
      </c>
      <c r="AZ628" s="10"/>
      <c r="BA628" s="61">
        <v>1884</v>
      </c>
      <c r="BB628" s="59">
        <v>54408977</v>
      </c>
      <c r="BC628" s="59"/>
      <c r="BD628" s="59"/>
      <c r="BE628" s="59">
        <v>94</v>
      </c>
      <c r="BF628" s="59">
        <v>7</v>
      </c>
      <c r="BG628" s="59">
        <v>2</v>
      </c>
      <c r="BH628" s="351"/>
      <c r="BI628" s="59">
        <v>2415806</v>
      </c>
      <c r="BJ628" s="342">
        <v>39670</v>
      </c>
      <c r="BK628" s="342">
        <v>39721</v>
      </c>
      <c r="BL628" s="320">
        <f>BK628-BJ628</f>
        <v>51</v>
      </c>
      <c r="BM628" s="62"/>
      <c r="BN628" s="10"/>
      <c r="BO628" s="8"/>
      <c r="BP628" s="62">
        <v>161</v>
      </c>
      <c r="BQ628" s="10"/>
      <c r="BR628" s="29">
        <v>2009</v>
      </c>
      <c r="BS628" s="64">
        <v>2008</v>
      </c>
      <c r="BT628" s="14">
        <v>15</v>
      </c>
      <c r="BU628" s="10"/>
      <c r="BV628" s="8">
        <v>2</v>
      </c>
      <c r="BW628" s="10">
        <v>0</v>
      </c>
      <c r="BX628" s="59">
        <v>0</v>
      </c>
      <c r="BY628" s="59">
        <v>0</v>
      </c>
      <c r="BZ628" s="59">
        <v>0</v>
      </c>
      <c r="CA628" s="59">
        <v>0</v>
      </c>
      <c r="CB628" s="59">
        <v>0</v>
      </c>
      <c r="CC628" s="221"/>
      <c r="CD628" s="59">
        <v>4</v>
      </c>
      <c r="CE628" s="59">
        <v>0</v>
      </c>
      <c r="CF628" s="317">
        <v>0</v>
      </c>
      <c r="CG628" s="59">
        <v>0</v>
      </c>
      <c r="CH628" s="59">
        <v>0</v>
      </c>
      <c r="CI628" s="59">
        <v>0</v>
      </c>
      <c r="CJ628" s="59">
        <v>2</v>
      </c>
      <c r="CK628" s="59"/>
      <c r="CL628" s="59">
        <v>0</v>
      </c>
      <c r="CM628" s="59">
        <v>0</v>
      </c>
      <c r="CN628" s="59">
        <v>0</v>
      </c>
      <c r="CO628" s="59">
        <v>1</v>
      </c>
      <c r="CP628" s="317"/>
      <c r="CQ628" s="59">
        <v>0</v>
      </c>
      <c r="CR628" s="59"/>
      <c r="CS628" s="59">
        <v>0</v>
      </c>
      <c r="CT628" s="59">
        <v>0</v>
      </c>
      <c r="CU628" s="59">
        <v>0</v>
      </c>
      <c r="CV628" s="59">
        <v>7</v>
      </c>
      <c r="CW628" s="59">
        <v>0</v>
      </c>
      <c r="CX628" s="59"/>
      <c r="CY628" s="59">
        <v>1</v>
      </c>
      <c r="CZ628" s="59">
        <v>0</v>
      </c>
      <c r="DA628" s="59">
        <v>0</v>
      </c>
      <c r="DB628" s="59">
        <v>35</v>
      </c>
      <c r="DC628" s="59">
        <v>6</v>
      </c>
      <c r="DD628" s="59">
        <v>0</v>
      </c>
      <c r="DE628" s="59">
        <v>0</v>
      </c>
      <c r="DF628" s="59">
        <v>0</v>
      </c>
      <c r="DG628" s="59">
        <v>1</v>
      </c>
      <c r="DH628" s="59">
        <v>1</v>
      </c>
      <c r="DI628" s="59">
        <v>1</v>
      </c>
      <c r="DJ628" s="59">
        <v>0</v>
      </c>
      <c r="DK628" s="59">
        <v>0</v>
      </c>
      <c r="DL628" s="59">
        <v>0</v>
      </c>
      <c r="DM628" s="59">
        <v>0</v>
      </c>
      <c r="DN628" s="59">
        <v>0</v>
      </c>
      <c r="DO628" s="59">
        <v>2</v>
      </c>
      <c r="DP628" s="59">
        <v>1</v>
      </c>
      <c r="DQ628" s="59">
        <v>0</v>
      </c>
      <c r="DR628" s="59"/>
      <c r="DS628" s="59">
        <v>3</v>
      </c>
      <c r="DT628" s="59">
        <v>0</v>
      </c>
      <c r="DU628" s="59">
        <v>0</v>
      </c>
      <c r="DV628" s="38">
        <f t="shared" si="302"/>
        <v>67</v>
      </c>
      <c r="DW628" s="14" t="str">
        <f t="shared" si="301"/>
        <v/>
      </c>
      <c r="DY628">
        <f>S628</f>
        <v>67</v>
      </c>
    </row>
    <row r="629" spans="1:130" customFormat="1">
      <c r="A629" s="210">
        <v>39675</v>
      </c>
      <c r="B629" s="211"/>
      <c r="C629" s="61">
        <v>0</v>
      </c>
      <c r="D629" s="59">
        <v>15</v>
      </c>
      <c r="E629" s="59">
        <v>0</v>
      </c>
      <c r="F629" s="59">
        <v>0</v>
      </c>
      <c r="G629" s="59">
        <v>1</v>
      </c>
      <c r="H629" s="59">
        <v>1</v>
      </c>
      <c r="I629" s="59">
        <v>0</v>
      </c>
      <c r="J629" s="59">
        <v>19</v>
      </c>
      <c r="K629" s="59">
        <v>0</v>
      </c>
      <c r="L629" s="59">
        <v>0</v>
      </c>
      <c r="M629" s="59">
        <v>0</v>
      </c>
      <c r="N629" s="59">
        <v>0</v>
      </c>
      <c r="O629" s="59">
        <v>36</v>
      </c>
      <c r="P629" s="59">
        <v>3</v>
      </c>
      <c r="Q629" s="59">
        <v>0</v>
      </c>
      <c r="R629" s="59">
        <v>0</v>
      </c>
      <c r="S629" s="35">
        <f>SUM(C629:R629)</f>
        <v>75</v>
      </c>
      <c r="T629" s="59"/>
      <c r="U629" s="59">
        <v>9</v>
      </c>
      <c r="V629" s="59">
        <v>7</v>
      </c>
      <c r="W629" s="59">
        <v>0</v>
      </c>
      <c r="X629" s="62">
        <v>0</v>
      </c>
      <c r="Y629" s="59"/>
      <c r="Z629" s="61">
        <v>3238400</v>
      </c>
      <c r="AA629" s="101"/>
      <c r="AB629" s="101"/>
      <c r="AC629" s="61">
        <v>1923669</v>
      </c>
      <c r="AD629" s="59"/>
      <c r="AE629" s="35">
        <f t="shared" si="300"/>
        <v>1923669</v>
      </c>
      <c r="AF629" s="10"/>
      <c r="AG629" s="61">
        <v>71</v>
      </c>
      <c r="AH629" s="59">
        <v>88</v>
      </c>
      <c r="AI629" s="59">
        <v>174</v>
      </c>
      <c r="AJ629" s="62"/>
      <c r="AK629" s="10"/>
      <c r="AL629" s="8"/>
      <c r="AM629" s="10"/>
      <c r="AN629" s="35"/>
      <c r="AO629" s="279"/>
      <c r="AP629" s="279"/>
      <c r="AQ629" s="281"/>
      <c r="AR629" s="59">
        <v>138</v>
      </c>
      <c r="AS629" s="59"/>
      <c r="AT629" s="59"/>
      <c r="AU629" s="59"/>
      <c r="AV629" s="62"/>
      <c r="AW629" s="10"/>
      <c r="AX629" s="326">
        <v>39674</v>
      </c>
      <c r="AY629" s="5">
        <v>-1</v>
      </c>
      <c r="AZ629" s="10"/>
      <c r="BA629" s="61"/>
      <c r="BB629" s="59"/>
      <c r="BC629" s="59"/>
      <c r="BD629" s="59"/>
      <c r="BE629" s="59"/>
      <c r="BF629" s="59"/>
      <c r="BG629" s="59"/>
      <c r="BH629" s="351"/>
      <c r="BI629" s="59"/>
      <c r="BJ629" s="342"/>
      <c r="BK629" s="335"/>
      <c r="BL629" s="320"/>
      <c r="BM629" s="62"/>
      <c r="BN629" s="10"/>
      <c r="BO629" s="8"/>
      <c r="BP629" s="62"/>
      <c r="BQ629" s="10"/>
      <c r="BR629" s="29">
        <v>2009</v>
      </c>
      <c r="BS629" s="64">
        <v>2008</v>
      </c>
      <c r="BT629" s="14">
        <v>16</v>
      </c>
      <c r="BU629" s="10"/>
      <c r="BV629" s="8">
        <v>1</v>
      </c>
      <c r="BW629" s="59">
        <v>0</v>
      </c>
      <c r="BX629" s="59">
        <v>3</v>
      </c>
      <c r="BY629" s="59">
        <v>0</v>
      </c>
      <c r="BZ629" s="59">
        <v>0</v>
      </c>
      <c r="CA629" s="59">
        <v>0</v>
      </c>
      <c r="CB629" s="59">
        <v>0</v>
      </c>
      <c r="CC629" s="221"/>
      <c r="CD629" s="59">
        <v>2</v>
      </c>
      <c r="CE629" s="59">
        <v>0</v>
      </c>
      <c r="CF629" s="317">
        <v>0</v>
      </c>
      <c r="CG629" s="59">
        <v>0</v>
      </c>
      <c r="CH629" s="59">
        <v>0</v>
      </c>
      <c r="CI629" s="59">
        <v>0</v>
      </c>
      <c r="CJ629" s="59">
        <v>0</v>
      </c>
      <c r="CK629" s="59"/>
      <c r="CL629" s="59">
        <v>0</v>
      </c>
      <c r="CM629" s="59">
        <v>0</v>
      </c>
      <c r="CN629" s="59">
        <v>0</v>
      </c>
      <c r="CO629" s="59">
        <v>13</v>
      </c>
      <c r="CP629" s="317"/>
      <c r="CQ629" s="59">
        <v>0</v>
      </c>
      <c r="CR629" s="59"/>
      <c r="CS629" s="59">
        <v>3</v>
      </c>
      <c r="CT629" s="59">
        <v>16</v>
      </c>
      <c r="CU629" s="59">
        <v>0</v>
      </c>
      <c r="CV629" s="59">
        <v>4</v>
      </c>
      <c r="CW629" s="59">
        <v>0</v>
      </c>
      <c r="CX629" s="59"/>
      <c r="CY629" s="59">
        <v>3</v>
      </c>
      <c r="CZ629" s="59">
        <v>0</v>
      </c>
      <c r="DA629" s="59">
        <v>0</v>
      </c>
      <c r="DB629" s="59">
        <v>8</v>
      </c>
      <c r="DC629" s="59">
        <v>0</v>
      </c>
      <c r="DD629" s="59">
        <v>0</v>
      </c>
      <c r="DE629" s="59">
        <v>0</v>
      </c>
      <c r="DF629" s="59">
        <v>0</v>
      </c>
      <c r="DG629" s="59">
        <v>17</v>
      </c>
      <c r="DH629" s="59">
        <v>1</v>
      </c>
      <c r="DI629" s="59">
        <v>1</v>
      </c>
      <c r="DJ629" s="59">
        <v>0</v>
      </c>
      <c r="DK629" s="59">
        <v>0</v>
      </c>
      <c r="DL629" s="59">
        <v>0</v>
      </c>
      <c r="DM629" s="59">
        <v>1</v>
      </c>
      <c r="DN629" s="59">
        <v>0</v>
      </c>
      <c r="DO629" s="59">
        <v>0</v>
      </c>
      <c r="DP629" s="59">
        <v>0</v>
      </c>
      <c r="DQ629" s="59">
        <v>0</v>
      </c>
      <c r="DR629" s="59"/>
      <c r="DS629" s="59">
        <v>2</v>
      </c>
      <c r="DT629" s="59">
        <v>0</v>
      </c>
      <c r="DU629" s="59">
        <v>0</v>
      </c>
      <c r="DV629" s="38">
        <f t="shared" si="302"/>
        <v>75</v>
      </c>
      <c r="DW629" s="14" t="str">
        <f t="shared" si="301"/>
        <v/>
      </c>
      <c r="DY629">
        <f>S629</f>
        <v>75</v>
      </c>
    </row>
    <row r="630" spans="1:130" customFormat="1">
      <c r="A630" s="210">
        <v>39692</v>
      </c>
      <c r="B630" s="211"/>
      <c r="C630" s="61">
        <v>2</v>
      </c>
      <c r="D630" s="59">
        <v>20</v>
      </c>
      <c r="E630" s="59">
        <v>1</v>
      </c>
      <c r="F630" s="59">
        <v>3</v>
      </c>
      <c r="G630" s="59">
        <v>2</v>
      </c>
      <c r="H630" s="59">
        <v>1</v>
      </c>
      <c r="I630" s="59">
        <v>0</v>
      </c>
      <c r="J630" s="59">
        <v>14</v>
      </c>
      <c r="K630" s="59">
        <v>0</v>
      </c>
      <c r="L630" s="59">
        <v>0</v>
      </c>
      <c r="M630" s="59">
        <v>0</v>
      </c>
      <c r="N630" s="59">
        <v>0</v>
      </c>
      <c r="O630" s="59">
        <v>7</v>
      </c>
      <c r="P630" s="59">
        <v>0</v>
      </c>
      <c r="Q630" s="59">
        <v>0</v>
      </c>
      <c r="R630" s="59">
        <v>0</v>
      </c>
      <c r="S630" s="35">
        <f>SUM(C630:R630)</f>
        <v>50</v>
      </c>
      <c r="T630" s="59"/>
      <c r="U630" s="59">
        <v>8</v>
      </c>
      <c r="V630" s="59">
        <v>7</v>
      </c>
      <c r="W630" s="59">
        <v>0</v>
      </c>
      <c r="X630" s="62">
        <v>0</v>
      </c>
      <c r="Y630" s="59"/>
      <c r="Z630" s="61">
        <v>3715584</v>
      </c>
      <c r="AA630" s="101"/>
      <c r="AB630" s="101"/>
      <c r="AC630" s="61">
        <v>1250277</v>
      </c>
      <c r="AD630" s="59"/>
      <c r="AE630" s="35">
        <f t="shared" si="300"/>
        <v>1250277</v>
      </c>
      <c r="AF630" s="10"/>
      <c r="AG630" s="61">
        <v>79</v>
      </c>
      <c r="AH630" s="59">
        <v>100</v>
      </c>
      <c r="AI630" s="59">
        <v>194</v>
      </c>
      <c r="AJ630" s="62"/>
      <c r="AK630" s="10"/>
      <c r="AL630" s="8"/>
      <c r="AM630" s="10"/>
      <c r="AN630" s="35"/>
      <c r="AO630" s="279"/>
      <c r="AP630" s="279"/>
      <c r="AQ630" s="281"/>
      <c r="AR630" s="59">
        <v>138</v>
      </c>
      <c r="AS630" s="59">
        <v>77</v>
      </c>
      <c r="AT630" s="59">
        <v>126</v>
      </c>
      <c r="AU630" s="59">
        <v>17</v>
      </c>
      <c r="AV630" s="62">
        <v>270</v>
      </c>
      <c r="AW630" s="10"/>
      <c r="AX630" s="326">
        <v>39688</v>
      </c>
      <c r="AY630" s="5">
        <v>-4</v>
      </c>
      <c r="AZ630" s="10"/>
      <c r="BA630" s="61">
        <v>1900</v>
      </c>
      <c r="BB630" s="59">
        <v>55512564</v>
      </c>
      <c r="BC630" s="59"/>
      <c r="BD630" s="59"/>
      <c r="BE630" s="59">
        <v>106</v>
      </c>
      <c r="BF630" s="59">
        <v>18</v>
      </c>
      <c r="BG630" s="59">
        <v>2</v>
      </c>
      <c r="BH630" s="351"/>
      <c r="BI630" s="59">
        <v>4993032</v>
      </c>
      <c r="BJ630" s="342">
        <v>39701</v>
      </c>
      <c r="BK630" s="342">
        <v>39734</v>
      </c>
      <c r="BL630" s="320">
        <f>BK630-BJ630</f>
        <v>33</v>
      </c>
      <c r="BM630" s="62"/>
      <c r="BN630" s="59"/>
      <c r="BO630" s="61"/>
      <c r="BP630" s="62">
        <v>162</v>
      </c>
      <c r="BQ630" s="10"/>
      <c r="BR630" s="29">
        <v>2009</v>
      </c>
      <c r="BS630" s="64">
        <v>2008</v>
      </c>
      <c r="BT630" s="14">
        <v>17</v>
      </c>
      <c r="BU630" s="10"/>
      <c r="BV630" s="8">
        <v>2</v>
      </c>
      <c r="BW630" s="59">
        <v>1</v>
      </c>
      <c r="BX630" s="59">
        <v>0</v>
      </c>
      <c r="BY630" s="59">
        <v>0</v>
      </c>
      <c r="BZ630" s="59">
        <v>0</v>
      </c>
      <c r="CA630" s="59">
        <v>0</v>
      </c>
      <c r="CB630" s="59">
        <v>0</v>
      </c>
      <c r="CC630" s="221"/>
      <c r="CD630" s="59">
        <v>4</v>
      </c>
      <c r="CE630" s="59">
        <v>0</v>
      </c>
      <c r="CF630" s="317">
        <v>0</v>
      </c>
      <c r="CG630" s="59">
        <v>0</v>
      </c>
      <c r="CH630" s="59">
        <v>0</v>
      </c>
      <c r="CI630" s="59">
        <v>11</v>
      </c>
      <c r="CJ630" s="59">
        <v>3</v>
      </c>
      <c r="CK630" s="59"/>
      <c r="CL630" s="59">
        <v>0</v>
      </c>
      <c r="CM630" s="59">
        <v>0</v>
      </c>
      <c r="CN630" s="59">
        <v>0</v>
      </c>
      <c r="CO630" s="59">
        <v>2</v>
      </c>
      <c r="CP630" s="317"/>
      <c r="CQ630" s="59">
        <v>0</v>
      </c>
      <c r="CR630" s="59"/>
      <c r="CS630" s="59">
        <v>0</v>
      </c>
      <c r="CT630" s="59">
        <v>3</v>
      </c>
      <c r="CU630" s="59">
        <v>0</v>
      </c>
      <c r="CV630" s="59">
        <v>0</v>
      </c>
      <c r="CW630" s="59">
        <v>0</v>
      </c>
      <c r="CX630" s="59"/>
      <c r="CY630" s="59">
        <v>0</v>
      </c>
      <c r="CZ630" s="59">
        <v>0</v>
      </c>
      <c r="DA630" s="59">
        <v>0</v>
      </c>
      <c r="DB630" s="59">
        <v>4</v>
      </c>
      <c r="DC630" s="59">
        <v>13</v>
      </c>
      <c r="DD630" s="59">
        <v>0</v>
      </c>
      <c r="DE630" s="59">
        <v>0</v>
      </c>
      <c r="DF630" s="59">
        <v>0</v>
      </c>
      <c r="DG630" s="59">
        <v>0</v>
      </c>
      <c r="DH630" s="59">
        <v>5</v>
      </c>
      <c r="DI630" s="59">
        <v>0</v>
      </c>
      <c r="DJ630" s="59">
        <v>0</v>
      </c>
      <c r="DK630" s="59">
        <v>0</v>
      </c>
      <c r="DL630" s="59">
        <v>0</v>
      </c>
      <c r="DM630" s="59">
        <v>0</v>
      </c>
      <c r="DN630" s="59">
        <v>0</v>
      </c>
      <c r="DO630" s="59">
        <v>1</v>
      </c>
      <c r="DP630" s="59">
        <v>1</v>
      </c>
      <c r="DQ630" s="59">
        <v>0</v>
      </c>
      <c r="DR630" s="59"/>
      <c r="DS630" s="59">
        <v>0</v>
      </c>
      <c r="DT630" s="59">
        <v>0</v>
      </c>
      <c r="DU630" s="59">
        <v>0</v>
      </c>
      <c r="DV630" s="38">
        <f t="shared" si="302"/>
        <v>50</v>
      </c>
      <c r="DW630" s="14" t="str">
        <f t="shared" si="301"/>
        <v/>
      </c>
      <c r="DY630">
        <f>S630</f>
        <v>50</v>
      </c>
    </row>
    <row r="631" spans="1:130" customFormat="1">
      <c r="A631" s="210">
        <v>39706</v>
      </c>
      <c r="B631" s="211"/>
      <c r="C631" s="61">
        <v>5</v>
      </c>
      <c r="D631" s="59">
        <v>23</v>
      </c>
      <c r="E631" s="59">
        <v>0</v>
      </c>
      <c r="F631" s="59">
        <v>0</v>
      </c>
      <c r="G631" s="59">
        <v>0</v>
      </c>
      <c r="H631" s="59">
        <v>0</v>
      </c>
      <c r="I631" s="59">
        <v>0</v>
      </c>
      <c r="J631" s="59">
        <v>17</v>
      </c>
      <c r="K631" s="59">
        <v>0</v>
      </c>
      <c r="L631" s="59">
        <v>0</v>
      </c>
      <c r="M631" s="59">
        <v>0</v>
      </c>
      <c r="N631" s="59">
        <v>0</v>
      </c>
      <c r="O631" s="59">
        <v>37</v>
      </c>
      <c r="P631" s="59">
        <v>4</v>
      </c>
      <c r="Q631" s="59">
        <v>0</v>
      </c>
      <c r="R631" s="59">
        <v>0</v>
      </c>
      <c r="S631" s="35">
        <f t="shared" ref="S631:S645" si="303">SUM(C631:R631)</f>
        <v>86</v>
      </c>
      <c r="T631" s="59"/>
      <c r="U631" s="59">
        <v>15</v>
      </c>
      <c r="V631" s="59">
        <v>11</v>
      </c>
      <c r="W631" s="59">
        <v>0</v>
      </c>
      <c r="X631" s="62">
        <v>1</v>
      </c>
      <c r="Y631" s="59"/>
      <c r="Z631" s="61">
        <v>3736064</v>
      </c>
      <c r="AA631" s="101"/>
      <c r="AB631" s="101"/>
      <c r="AC631" s="61">
        <v>782334</v>
      </c>
      <c r="AD631" s="59"/>
      <c r="AE631" s="35">
        <f t="shared" si="300"/>
        <v>782334</v>
      </c>
      <c r="AF631" s="10"/>
      <c r="AG631" s="61">
        <v>72</v>
      </c>
      <c r="AH631" s="59">
        <v>103</v>
      </c>
      <c r="AI631" s="59">
        <v>190</v>
      </c>
      <c r="AJ631" s="62"/>
      <c r="AK631" s="10"/>
      <c r="AL631" s="8"/>
      <c r="AM631" s="10"/>
      <c r="AN631" s="35"/>
      <c r="AO631" s="279"/>
      <c r="AP631" s="279"/>
      <c r="AQ631" s="281"/>
      <c r="AR631" s="59">
        <v>138</v>
      </c>
      <c r="AS631" s="59"/>
      <c r="AT631" s="59"/>
      <c r="AU631" s="59"/>
      <c r="AV631" s="62"/>
      <c r="AW631" s="10"/>
      <c r="AX631" s="326">
        <v>39702</v>
      </c>
      <c r="AY631" s="5">
        <v>-4</v>
      </c>
      <c r="AZ631" s="10"/>
      <c r="BA631" s="61"/>
      <c r="BB631" s="59"/>
      <c r="BC631" s="59"/>
      <c r="BD631" s="59"/>
      <c r="BE631" s="59"/>
      <c r="BF631" s="59"/>
      <c r="BG631" s="59"/>
      <c r="BH631" s="351"/>
      <c r="BI631" s="59"/>
      <c r="BJ631" s="342"/>
      <c r="BK631" s="335"/>
      <c r="BL631" s="320"/>
      <c r="BM631" s="62"/>
      <c r="BN631" s="10"/>
      <c r="BO631" s="8"/>
      <c r="BP631" s="62"/>
      <c r="BQ631" s="10"/>
      <c r="BR631" s="29">
        <v>2009</v>
      </c>
      <c r="BS631" s="64">
        <v>2008</v>
      </c>
      <c r="BT631" s="14">
        <v>18</v>
      </c>
      <c r="BU631" s="10"/>
      <c r="BV631" s="8">
        <v>0</v>
      </c>
      <c r="BW631" s="59">
        <v>0</v>
      </c>
      <c r="BX631" s="59">
        <v>1</v>
      </c>
      <c r="BY631" s="59">
        <v>0</v>
      </c>
      <c r="BZ631" s="59">
        <v>0</v>
      </c>
      <c r="CA631" s="59">
        <v>0</v>
      </c>
      <c r="CB631" s="59">
        <v>0</v>
      </c>
      <c r="CC631" s="221"/>
      <c r="CD631" s="59">
        <v>4</v>
      </c>
      <c r="CE631" s="59">
        <v>1</v>
      </c>
      <c r="CF631" s="317">
        <v>0</v>
      </c>
      <c r="CG631" s="59">
        <v>0</v>
      </c>
      <c r="CH631" s="59">
        <v>0</v>
      </c>
      <c r="CI631" s="59">
        <v>25</v>
      </c>
      <c r="CJ631" s="59">
        <v>1</v>
      </c>
      <c r="CK631" s="59"/>
      <c r="CL631" s="59">
        <v>0</v>
      </c>
      <c r="CM631" s="59">
        <v>3</v>
      </c>
      <c r="CN631" s="59">
        <v>0</v>
      </c>
      <c r="CO631" s="59">
        <v>8</v>
      </c>
      <c r="CP631" s="317"/>
      <c r="CQ631" s="59">
        <v>0</v>
      </c>
      <c r="CR631" s="59"/>
      <c r="CS631" s="59">
        <v>0</v>
      </c>
      <c r="CT631" s="59">
        <v>16</v>
      </c>
      <c r="CU631" s="59">
        <v>0</v>
      </c>
      <c r="CV631" s="59">
        <v>1</v>
      </c>
      <c r="CW631" s="59">
        <v>1</v>
      </c>
      <c r="CX631" s="59"/>
      <c r="CY631" s="59">
        <v>0</v>
      </c>
      <c r="CZ631" s="59">
        <v>2</v>
      </c>
      <c r="DA631" s="59">
        <v>0</v>
      </c>
      <c r="DB631" s="59">
        <v>8</v>
      </c>
      <c r="DC631" s="59">
        <v>0</v>
      </c>
      <c r="DD631" s="59">
        <v>3</v>
      </c>
      <c r="DE631" s="59">
        <v>0</v>
      </c>
      <c r="DF631" s="59">
        <v>0</v>
      </c>
      <c r="DG631" s="59">
        <v>2</v>
      </c>
      <c r="DH631" s="59">
        <v>0</v>
      </c>
      <c r="DI631" s="59">
        <v>0</v>
      </c>
      <c r="DJ631" s="59">
        <v>0</v>
      </c>
      <c r="DK631" s="59">
        <v>0</v>
      </c>
      <c r="DL631" s="59">
        <v>2</v>
      </c>
      <c r="DM631" s="59">
        <v>0</v>
      </c>
      <c r="DN631" s="59">
        <v>0</v>
      </c>
      <c r="DO631" s="59">
        <v>2</v>
      </c>
      <c r="DP631" s="59">
        <v>3</v>
      </c>
      <c r="DQ631" s="59">
        <v>0</v>
      </c>
      <c r="DR631" s="59"/>
      <c r="DS631" s="59">
        <v>3</v>
      </c>
      <c r="DT631" s="59">
        <v>0</v>
      </c>
      <c r="DU631" s="59">
        <v>0</v>
      </c>
      <c r="DV631" s="38">
        <f t="shared" si="302"/>
        <v>86</v>
      </c>
      <c r="DW631" s="14" t="str">
        <f t="shared" si="301"/>
        <v/>
      </c>
      <c r="DY631">
        <f t="shared" ref="DY631:DY649" si="304">S631</f>
        <v>86</v>
      </c>
    </row>
    <row r="632" spans="1:130" customFormat="1">
      <c r="A632" s="210">
        <v>39722</v>
      </c>
      <c r="B632" s="211"/>
      <c r="C632" s="61">
        <v>3</v>
      </c>
      <c r="D632" s="59">
        <v>20</v>
      </c>
      <c r="E632" s="59">
        <v>0</v>
      </c>
      <c r="F632" s="59">
        <v>0</v>
      </c>
      <c r="G632" s="59">
        <v>6</v>
      </c>
      <c r="H632" s="59">
        <v>1</v>
      </c>
      <c r="I632" s="59">
        <v>0</v>
      </c>
      <c r="J632" s="59">
        <v>4</v>
      </c>
      <c r="K632" s="59">
        <v>0</v>
      </c>
      <c r="L632" s="59">
        <v>0</v>
      </c>
      <c r="M632" s="59">
        <v>0</v>
      </c>
      <c r="N632" s="59">
        <v>0</v>
      </c>
      <c r="O632" s="59">
        <v>1</v>
      </c>
      <c r="P632" s="59">
        <v>4</v>
      </c>
      <c r="Q632" s="59">
        <v>0</v>
      </c>
      <c r="R632" s="59">
        <v>0</v>
      </c>
      <c r="S632" s="35">
        <f t="shared" si="303"/>
        <v>39</v>
      </c>
      <c r="T632" s="59"/>
      <c r="U632" s="59">
        <v>14</v>
      </c>
      <c r="V632" s="59">
        <v>11</v>
      </c>
      <c r="W632" s="59">
        <v>0</v>
      </c>
      <c r="X632" s="5">
        <v>0</v>
      </c>
      <c r="Y632" s="10"/>
      <c r="Z632" s="61">
        <v>3809792</v>
      </c>
      <c r="AA632" s="101"/>
      <c r="AB632" s="101"/>
      <c r="AC632" s="61">
        <v>547982</v>
      </c>
      <c r="AD632" s="59"/>
      <c r="AE632" s="35">
        <f t="shared" si="300"/>
        <v>547982</v>
      </c>
      <c r="AF632" s="10"/>
      <c r="AG632" s="61">
        <v>79</v>
      </c>
      <c r="AH632" s="59">
        <v>105</v>
      </c>
      <c r="AI632" s="59">
        <v>196</v>
      </c>
      <c r="AJ632" s="62"/>
      <c r="AK632" s="10"/>
      <c r="AL632" s="61">
        <v>0</v>
      </c>
      <c r="AM632" s="59">
        <v>41</v>
      </c>
      <c r="AN632" s="35">
        <f>SUM(AL632:AM632)</f>
        <v>41</v>
      </c>
      <c r="AO632" s="279"/>
      <c r="AP632" s="279"/>
      <c r="AQ632" s="281"/>
      <c r="AR632" s="59">
        <v>138</v>
      </c>
      <c r="AS632" s="59">
        <v>79</v>
      </c>
      <c r="AT632" s="59">
        <v>129</v>
      </c>
      <c r="AU632" s="59">
        <v>17</v>
      </c>
      <c r="AV632" s="62">
        <v>270</v>
      </c>
      <c r="AW632" s="10"/>
      <c r="AX632" s="326">
        <v>39720</v>
      </c>
      <c r="AY632" s="5">
        <v>-2</v>
      </c>
      <c r="AZ632" s="10"/>
      <c r="BA632" s="61">
        <v>1902</v>
      </c>
      <c r="BB632" s="59">
        <v>55704693</v>
      </c>
      <c r="BC632" s="59"/>
      <c r="BD632" s="59"/>
      <c r="BE632" s="59">
        <v>77</v>
      </c>
      <c r="BF632" s="59">
        <v>2</v>
      </c>
      <c r="BG632" s="59">
        <v>0</v>
      </c>
      <c r="BH632" s="351"/>
      <c r="BI632" s="59">
        <v>4091666</v>
      </c>
      <c r="BJ632" s="342">
        <v>39731</v>
      </c>
      <c r="BK632" s="342">
        <v>39752</v>
      </c>
      <c r="BL632" s="320">
        <f>BK632-BJ632</f>
        <v>21</v>
      </c>
      <c r="BM632" s="62"/>
      <c r="BN632" s="10"/>
      <c r="BO632" s="8"/>
      <c r="BP632" s="62">
        <v>162</v>
      </c>
      <c r="BQ632" s="10"/>
      <c r="BR632" s="29">
        <v>2009</v>
      </c>
      <c r="BS632" s="64">
        <v>2008</v>
      </c>
      <c r="BT632" s="14">
        <v>19</v>
      </c>
      <c r="BU632" s="10"/>
      <c r="BV632" s="8">
        <v>4</v>
      </c>
      <c r="BW632" s="59">
        <v>1</v>
      </c>
      <c r="BX632" s="59">
        <v>0</v>
      </c>
      <c r="BY632" s="59">
        <v>0</v>
      </c>
      <c r="BZ632" s="59">
        <v>0</v>
      </c>
      <c r="CA632" s="59">
        <v>0</v>
      </c>
      <c r="CB632" s="59">
        <v>1</v>
      </c>
      <c r="CC632" s="221"/>
      <c r="CD632" s="59">
        <v>3</v>
      </c>
      <c r="CE632" s="59">
        <v>0</v>
      </c>
      <c r="CF632" s="317">
        <v>0</v>
      </c>
      <c r="CG632" s="59">
        <v>0</v>
      </c>
      <c r="CH632" s="59">
        <v>1</v>
      </c>
      <c r="CI632" s="59">
        <v>7</v>
      </c>
      <c r="CJ632" s="59">
        <v>5</v>
      </c>
      <c r="CK632" s="59"/>
      <c r="CL632" s="59">
        <v>0</v>
      </c>
      <c r="CM632" s="59">
        <v>0</v>
      </c>
      <c r="CN632" s="59">
        <v>0</v>
      </c>
      <c r="CO632" s="59">
        <v>0</v>
      </c>
      <c r="CP632" s="317"/>
      <c r="CQ632" s="59">
        <v>0</v>
      </c>
      <c r="CR632" s="59"/>
      <c r="CS632" s="59">
        <v>0</v>
      </c>
      <c r="CT632" s="59">
        <v>3</v>
      </c>
      <c r="CU632" s="59">
        <v>0</v>
      </c>
      <c r="CV632" s="59">
        <v>3</v>
      </c>
      <c r="CW632" s="59">
        <v>0</v>
      </c>
      <c r="CX632" s="59"/>
      <c r="CY632" s="59">
        <v>0</v>
      </c>
      <c r="CZ632" s="59">
        <v>0</v>
      </c>
      <c r="DA632" s="59">
        <v>0</v>
      </c>
      <c r="DB632" s="59">
        <v>3</v>
      </c>
      <c r="DC632" s="59">
        <v>0</v>
      </c>
      <c r="DD632" s="59">
        <v>0</v>
      </c>
      <c r="DE632" s="59">
        <v>0</v>
      </c>
      <c r="DF632" s="59">
        <v>0</v>
      </c>
      <c r="DG632" s="59">
        <v>2</v>
      </c>
      <c r="DH632" s="59">
        <v>1</v>
      </c>
      <c r="DI632" s="59">
        <v>0</v>
      </c>
      <c r="DJ632" s="59">
        <v>0</v>
      </c>
      <c r="DK632" s="59">
        <v>0</v>
      </c>
      <c r="DL632" s="59">
        <v>0</v>
      </c>
      <c r="DM632" s="59">
        <v>3</v>
      </c>
      <c r="DN632" s="59">
        <v>0</v>
      </c>
      <c r="DO632" s="59">
        <v>2</v>
      </c>
      <c r="DP632" s="59">
        <v>0</v>
      </c>
      <c r="DQ632" s="59">
        <v>0</v>
      </c>
      <c r="DR632" s="59"/>
      <c r="DS632" s="59">
        <v>0</v>
      </c>
      <c r="DT632" s="59">
        <v>0</v>
      </c>
      <c r="DU632" s="59">
        <v>0</v>
      </c>
      <c r="DV632" s="38">
        <f t="shared" si="302"/>
        <v>39</v>
      </c>
      <c r="DW632" s="14" t="str">
        <f t="shared" si="301"/>
        <v/>
      </c>
      <c r="DY632">
        <f t="shared" si="304"/>
        <v>39</v>
      </c>
    </row>
    <row r="633" spans="1:130" customFormat="1">
      <c r="A633" s="210">
        <v>39736</v>
      </c>
      <c r="B633" s="211"/>
      <c r="C633" s="61">
        <v>5</v>
      </c>
      <c r="D633" s="59">
        <v>12</v>
      </c>
      <c r="E633" s="59">
        <v>0</v>
      </c>
      <c r="F633" s="59">
        <v>0</v>
      </c>
      <c r="G633" s="59">
        <v>1</v>
      </c>
      <c r="H633" s="59">
        <v>5</v>
      </c>
      <c r="I633" s="59">
        <v>0</v>
      </c>
      <c r="J633" s="59">
        <v>4</v>
      </c>
      <c r="K633" s="59">
        <v>3</v>
      </c>
      <c r="L633" s="59">
        <v>0</v>
      </c>
      <c r="M633" s="59">
        <v>0</v>
      </c>
      <c r="N633" s="59">
        <v>0</v>
      </c>
      <c r="O633" s="59">
        <v>3</v>
      </c>
      <c r="P633" s="59">
        <v>2</v>
      </c>
      <c r="Q633" s="59">
        <v>0</v>
      </c>
      <c r="R633" s="59">
        <v>0</v>
      </c>
      <c r="S633" s="35">
        <f t="shared" si="303"/>
        <v>35</v>
      </c>
      <c r="T633" s="59"/>
      <c r="U633" s="59">
        <v>4</v>
      </c>
      <c r="V633" s="59">
        <v>4</v>
      </c>
      <c r="W633" s="59">
        <v>0</v>
      </c>
      <c r="X633" s="5">
        <v>0</v>
      </c>
      <c r="Y633" s="10"/>
      <c r="Z633" s="61">
        <v>3762688</v>
      </c>
      <c r="AA633" s="101"/>
      <c r="AB633" s="101"/>
      <c r="AC633" s="61">
        <v>387786</v>
      </c>
      <c r="AD633" s="59"/>
      <c r="AE633" s="35">
        <f t="shared" si="300"/>
        <v>387786</v>
      </c>
      <c r="AF633" s="10"/>
      <c r="AG633" s="61">
        <v>51</v>
      </c>
      <c r="AH633" s="59">
        <v>112</v>
      </c>
      <c r="AI633" s="59">
        <v>176</v>
      </c>
      <c r="AJ633" s="62"/>
      <c r="AK633" s="10"/>
      <c r="AL633" s="8"/>
      <c r="AM633" s="59"/>
      <c r="AN633" s="35"/>
      <c r="AO633" s="279"/>
      <c r="AP633" s="279"/>
      <c r="AQ633" s="281"/>
      <c r="AR633" s="59">
        <v>139</v>
      </c>
      <c r="AS633" s="59">
        <v>81</v>
      </c>
      <c r="AT633" s="59">
        <v>130</v>
      </c>
      <c r="AU633" s="59">
        <v>17</v>
      </c>
      <c r="AV633" s="62">
        <v>273</v>
      </c>
      <c r="AW633" s="10"/>
      <c r="AX633" s="326">
        <v>39736</v>
      </c>
      <c r="AY633" s="5">
        <v>0</v>
      </c>
      <c r="AZ633" s="10"/>
      <c r="BA633" s="61"/>
      <c r="BB633" s="59"/>
      <c r="BC633" s="59"/>
      <c r="BD633" s="59"/>
      <c r="BE633" s="59"/>
      <c r="BF633" s="59"/>
      <c r="BG633" s="59"/>
      <c r="BH633" s="351"/>
      <c r="BI633" s="59"/>
      <c r="BJ633" s="342"/>
      <c r="BK633" s="335"/>
      <c r="BL633" s="320"/>
      <c r="BM633" s="62"/>
      <c r="BN633" s="10"/>
      <c r="BO633" s="8"/>
      <c r="BP633" s="62"/>
      <c r="BQ633" s="10"/>
      <c r="BR633" s="29">
        <v>2009</v>
      </c>
      <c r="BS633" s="64">
        <v>2008</v>
      </c>
      <c r="BT633" s="14">
        <v>20</v>
      </c>
      <c r="BU633" s="10"/>
      <c r="BV633" s="8">
        <v>4</v>
      </c>
      <c r="BW633" s="59">
        <v>0</v>
      </c>
      <c r="BX633" s="59">
        <v>0</v>
      </c>
      <c r="BY633" s="59">
        <v>0</v>
      </c>
      <c r="BZ633" s="59">
        <v>0</v>
      </c>
      <c r="CA633" s="59">
        <v>0</v>
      </c>
      <c r="CB633" s="59">
        <v>0</v>
      </c>
      <c r="CC633" s="221"/>
      <c r="CD633" s="59">
        <v>6</v>
      </c>
      <c r="CE633" s="59">
        <v>0</v>
      </c>
      <c r="CF633" s="317">
        <v>0</v>
      </c>
      <c r="CG633" s="59">
        <v>0</v>
      </c>
      <c r="CH633" s="59">
        <v>0</v>
      </c>
      <c r="CI633" s="59">
        <v>0</v>
      </c>
      <c r="CJ633" s="59">
        <v>0</v>
      </c>
      <c r="CK633" s="59"/>
      <c r="CL633" s="59">
        <v>0</v>
      </c>
      <c r="CM633" s="59">
        <v>0</v>
      </c>
      <c r="CN633" s="59">
        <v>1</v>
      </c>
      <c r="CO633" s="59">
        <v>5</v>
      </c>
      <c r="CP633" s="317"/>
      <c r="CQ633" s="59">
        <v>0</v>
      </c>
      <c r="CR633" s="59"/>
      <c r="CS633" s="59">
        <v>0</v>
      </c>
      <c r="CT633" s="59">
        <v>2</v>
      </c>
      <c r="CU633" s="59">
        <v>0</v>
      </c>
      <c r="CV633" s="59">
        <v>0</v>
      </c>
      <c r="CW633" s="59">
        <v>0</v>
      </c>
      <c r="CX633" s="59"/>
      <c r="CY633" s="59">
        <v>2</v>
      </c>
      <c r="CZ633" s="59">
        <v>0</v>
      </c>
      <c r="DA633" s="59">
        <v>0</v>
      </c>
      <c r="DB633" s="59">
        <v>1</v>
      </c>
      <c r="DC633" s="59">
        <v>0</v>
      </c>
      <c r="DD633" s="59">
        <v>0</v>
      </c>
      <c r="DE633" s="59">
        <v>0</v>
      </c>
      <c r="DF633" s="59">
        <v>0</v>
      </c>
      <c r="DG633" s="59">
        <v>4</v>
      </c>
      <c r="DH633" s="59">
        <v>0</v>
      </c>
      <c r="DI633" s="59">
        <v>0</v>
      </c>
      <c r="DJ633" s="59">
        <v>0</v>
      </c>
      <c r="DK633" s="59">
        <v>0</v>
      </c>
      <c r="DL633" s="59">
        <v>0</v>
      </c>
      <c r="DM633" s="59">
        <v>0</v>
      </c>
      <c r="DN633" s="59">
        <v>0</v>
      </c>
      <c r="DO633" s="59">
        <v>5</v>
      </c>
      <c r="DP633" s="59">
        <v>0</v>
      </c>
      <c r="DQ633" s="59">
        <v>0</v>
      </c>
      <c r="DR633" s="59"/>
      <c r="DS633" s="59">
        <v>5</v>
      </c>
      <c r="DT633" s="59">
        <v>0</v>
      </c>
      <c r="DU633" s="59">
        <v>0</v>
      </c>
      <c r="DV633" s="38">
        <f t="shared" si="302"/>
        <v>35</v>
      </c>
      <c r="DW633" s="14" t="str">
        <f t="shared" si="301"/>
        <v/>
      </c>
      <c r="DY633">
        <f t="shared" si="304"/>
        <v>35</v>
      </c>
    </row>
    <row r="634" spans="1:130" customFormat="1">
      <c r="A634" s="210">
        <v>39753</v>
      </c>
      <c r="B634" s="211"/>
      <c r="C634" s="61">
        <v>3</v>
      </c>
      <c r="D634" s="59">
        <v>46</v>
      </c>
      <c r="E634" s="59">
        <v>1</v>
      </c>
      <c r="F634" s="59">
        <v>0</v>
      </c>
      <c r="G634" s="59">
        <v>0</v>
      </c>
      <c r="H634" s="59">
        <v>1</v>
      </c>
      <c r="I634" s="59">
        <v>0</v>
      </c>
      <c r="J634" s="59">
        <v>12</v>
      </c>
      <c r="K634" s="59">
        <v>0</v>
      </c>
      <c r="L634" s="59">
        <v>0</v>
      </c>
      <c r="M634" s="59">
        <v>0</v>
      </c>
      <c r="N634" s="59">
        <v>0</v>
      </c>
      <c r="O634" s="59">
        <v>9</v>
      </c>
      <c r="P634" s="59">
        <v>1</v>
      </c>
      <c r="Q634" s="59">
        <v>0</v>
      </c>
      <c r="R634" s="59">
        <v>0</v>
      </c>
      <c r="S634" s="35">
        <f t="shared" si="303"/>
        <v>73</v>
      </c>
      <c r="T634" s="59"/>
      <c r="U634" s="59">
        <v>15</v>
      </c>
      <c r="V634" s="59">
        <v>13</v>
      </c>
      <c r="W634" s="59">
        <v>0</v>
      </c>
      <c r="X634" s="5">
        <v>0</v>
      </c>
      <c r="Y634" s="10"/>
      <c r="Z634" s="61">
        <v>2109440</v>
      </c>
      <c r="AA634" s="101"/>
      <c r="AB634" s="101"/>
      <c r="AC634" s="61">
        <v>1240226</v>
      </c>
      <c r="AD634" s="59"/>
      <c r="AE634" s="35">
        <f t="shared" si="300"/>
        <v>1240226</v>
      </c>
      <c r="AF634" s="10"/>
      <c r="AG634" s="61">
        <v>108</v>
      </c>
      <c r="AH634" s="59">
        <v>33</v>
      </c>
      <c r="AI634" s="59">
        <v>154</v>
      </c>
      <c r="AJ634" s="62"/>
      <c r="AK634" s="10"/>
      <c r="AL634" s="8"/>
      <c r="AM634" s="10"/>
      <c r="AN634" s="35"/>
      <c r="AO634" s="279"/>
      <c r="AP634" s="279"/>
      <c r="AQ634" s="281"/>
      <c r="AR634" s="59">
        <v>138</v>
      </c>
      <c r="AS634" s="59">
        <v>81</v>
      </c>
      <c r="AT634" s="59">
        <v>131</v>
      </c>
      <c r="AU634" s="59">
        <v>17</v>
      </c>
      <c r="AV634" s="62">
        <v>274</v>
      </c>
      <c r="AW634" s="10"/>
      <c r="AX634" s="326">
        <v>39750</v>
      </c>
      <c r="AY634" s="5">
        <v>-3</v>
      </c>
      <c r="AZ634" s="10"/>
      <c r="BA634" s="61">
        <v>1908</v>
      </c>
      <c r="BB634" s="103">
        <v>56555207</v>
      </c>
      <c r="BC634" s="59"/>
      <c r="BD634" s="59"/>
      <c r="BE634" s="59">
        <v>90</v>
      </c>
      <c r="BF634" s="59">
        <v>8</v>
      </c>
      <c r="BG634" s="59">
        <v>0</v>
      </c>
      <c r="BH634" s="351"/>
      <c r="BI634" s="59">
        <v>4450672</v>
      </c>
      <c r="BJ634" s="342">
        <v>39762</v>
      </c>
      <c r="BK634" s="342">
        <v>39778</v>
      </c>
      <c r="BL634" s="320">
        <f>BK634-BJ634</f>
        <v>16</v>
      </c>
      <c r="BM634" s="62"/>
      <c r="BN634" s="10"/>
      <c r="BO634" s="8"/>
      <c r="BP634" s="62">
        <v>162</v>
      </c>
      <c r="BQ634" s="10"/>
      <c r="BR634" s="29">
        <v>2009</v>
      </c>
      <c r="BS634" s="64">
        <v>2008</v>
      </c>
      <c r="BT634" s="14">
        <v>21</v>
      </c>
      <c r="BU634" s="10"/>
      <c r="BV634" s="8">
        <v>0</v>
      </c>
      <c r="BW634" s="59">
        <v>4</v>
      </c>
      <c r="BX634" s="59">
        <v>0</v>
      </c>
      <c r="BY634" s="59">
        <v>0</v>
      </c>
      <c r="BZ634" s="59">
        <v>0</v>
      </c>
      <c r="CA634" s="59">
        <v>0</v>
      </c>
      <c r="CB634" s="59">
        <v>0</v>
      </c>
      <c r="CC634" s="221"/>
      <c r="CD634" s="59">
        <v>13</v>
      </c>
      <c r="CE634" s="59">
        <v>0</v>
      </c>
      <c r="CF634" s="317">
        <v>0</v>
      </c>
      <c r="CG634" s="59">
        <v>4</v>
      </c>
      <c r="CH634" s="59">
        <v>0</v>
      </c>
      <c r="CI634" s="59">
        <v>5</v>
      </c>
      <c r="CJ634" s="59">
        <v>8</v>
      </c>
      <c r="CK634" s="59"/>
      <c r="CL634" s="59">
        <v>0</v>
      </c>
      <c r="CM634" s="59">
        <v>1</v>
      </c>
      <c r="CN634" s="59">
        <v>0</v>
      </c>
      <c r="CO634" s="59">
        <v>1</v>
      </c>
      <c r="CP634" s="317"/>
      <c r="CQ634" s="59">
        <v>0</v>
      </c>
      <c r="CR634" s="59"/>
      <c r="CS634" s="59">
        <v>0</v>
      </c>
      <c r="CT634" s="59">
        <v>0</v>
      </c>
      <c r="CU634" s="59">
        <v>0</v>
      </c>
      <c r="CV634" s="59">
        <v>2</v>
      </c>
      <c r="CW634" s="59">
        <v>0</v>
      </c>
      <c r="CX634" s="59"/>
      <c r="CY634" s="59">
        <v>5</v>
      </c>
      <c r="CZ634" s="59">
        <v>0</v>
      </c>
      <c r="DA634" s="59">
        <v>0</v>
      </c>
      <c r="DB634" s="59">
        <v>6</v>
      </c>
      <c r="DC634" s="59">
        <v>0</v>
      </c>
      <c r="DD634" s="59">
        <v>0</v>
      </c>
      <c r="DE634" s="59">
        <v>1</v>
      </c>
      <c r="DF634" s="59">
        <v>0</v>
      </c>
      <c r="DG634" s="59">
        <v>3</v>
      </c>
      <c r="DH634" s="59">
        <v>0</v>
      </c>
      <c r="DI634" s="59">
        <v>0</v>
      </c>
      <c r="DJ634" s="59">
        <v>0</v>
      </c>
      <c r="DK634" s="59">
        <v>0</v>
      </c>
      <c r="DL634" s="59">
        <v>0</v>
      </c>
      <c r="DM634" s="59">
        <v>19</v>
      </c>
      <c r="DN634" s="59">
        <v>0</v>
      </c>
      <c r="DO634" s="59">
        <v>1</v>
      </c>
      <c r="DP634" s="59">
        <v>0</v>
      </c>
      <c r="DQ634" s="59">
        <v>0</v>
      </c>
      <c r="DR634" s="59"/>
      <c r="DS634" s="59">
        <v>0</v>
      </c>
      <c r="DT634" s="59">
        <v>0</v>
      </c>
      <c r="DU634" s="59">
        <v>0</v>
      </c>
      <c r="DV634" s="38">
        <f t="shared" si="302"/>
        <v>73</v>
      </c>
      <c r="DW634" s="14" t="str">
        <f t="shared" si="301"/>
        <v/>
      </c>
      <c r="DY634">
        <f t="shared" si="304"/>
        <v>73</v>
      </c>
    </row>
    <row r="635" spans="1:130" customFormat="1">
      <c r="A635" s="210">
        <v>39767</v>
      </c>
      <c r="B635" s="211"/>
      <c r="C635" s="61">
        <v>3</v>
      </c>
      <c r="D635" s="59">
        <v>15</v>
      </c>
      <c r="E635" s="59">
        <v>0</v>
      </c>
      <c r="F635" s="59">
        <v>0</v>
      </c>
      <c r="G635" s="59">
        <v>0</v>
      </c>
      <c r="H635" s="59">
        <v>9</v>
      </c>
      <c r="I635" s="59">
        <v>0</v>
      </c>
      <c r="J635" s="59">
        <v>5</v>
      </c>
      <c r="K635" s="59">
        <v>0</v>
      </c>
      <c r="L635" s="59">
        <v>0</v>
      </c>
      <c r="M635" s="59">
        <v>0</v>
      </c>
      <c r="N635" s="59">
        <v>0</v>
      </c>
      <c r="O635" s="59">
        <v>18</v>
      </c>
      <c r="P635" s="59">
        <v>1</v>
      </c>
      <c r="Q635" s="59">
        <v>0</v>
      </c>
      <c r="R635" s="59">
        <v>0</v>
      </c>
      <c r="S635" s="35">
        <f t="shared" si="303"/>
        <v>51</v>
      </c>
      <c r="T635" s="59"/>
      <c r="U635" s="59">
        <v>13</v>
      </c>
      <c r="V635" s="59">
        <v>10</v>
      </c>
      <c r="W635" s="59">
        <v>0</v>
      </c>
      <c r="X635" s="5">
        <v>0</v>
      </c>
      <c r="Y635" s="10"/>
      <c r="Z635" s="61">
        <v>4283392</v>
      </c>
      <c r="AA635" s="101"/>
      <c r="AB635" s="101"/>
      <c r="AC635" s="61">
        <v>977877</v>
      </c>
      <c r="AD635" s="59"/>
      <c r="AE635" s="35">
        <f t="shared" si="300"/>
        <v>977877</v>
      </c>
      <c r="AF635" s="10"/>
      <c r="AG635" s="61">
        <v>42</v>
      </c>
      <c r="AH635" s="59">
        <v>126</v>
      </c>
      <c r="AI635" s="59">
        <v>194</v>
      </c>
      <c r="AJ635" s="62"/>
      <c r="AK635" s="10"/>
      <c r="AL635" s="8"/>
      <c r="AM635" s="10"/>
      <c r="AN635" s="35"/>
      <c r="AO635" s="279"/>
      <c r="AP635" s="279"/>
      <c r="AQ635" s="281"/>
      <c r="AR635" s="59">
        <v>138</v>
      </c>
      <c r="AS635" s="59">
        <v>81</v>
      </c>
      <c r="AT635" s="59">
        <v>130</v>
      </c>
      <c r="AU635" s="59">
        <v>17</v>
      </c>
      <c r="AV635" s="62">
        <v>273</v>
      </c>
      <c r="AW635" s="10"/>
      <c r="AX635" s="326">
        <v>39765</v>
      </c>
      <c r="AY635" s="5">
        <v>-2</v>
      </c>
      <c r="AZ635" s="10"/>
      <c r="BA635" s="61"/>
      <c r="BB635" s="59"/>
      <c r="BC635" s="59"/>
      <c r="BD635" s="59"/>
      <c r="BE635" s="59"/>
      <c r="BF635" s="59"/>
      <c r="BG635" s="62"/>
      <c r="BH635" s="62"/>
      <c r="BI635" s="102"/>
      <c r="BJ635" s="344"/>
      <c r="BK635" s="335"/>
      <c r="BL635" s="321"/>
      <c r="BM635" s="62"/>
      <c r="BN635" s="10"/>
      <c r="BO635" s="8"/>
      <c r="BP635" s="62"/>
      <c r="BQ635" s="10"/>
      <c r="BR635" s="29">
        <v>2009</v>
      </c>
      <c r="BS635" s="64">
        <v>2008</v>
      </c>
      <c r="BT635" s="14">
        <v>22</v>
      </c>
      <c r="BU635" s="10"/>
      <c r="BV635" s="8">
        <v>3</v>
      </c>
      <c r="BW635" s="59">
        <v>0</v>
      </c>
      <c r="BX635" s="59">
        <v>4</v>
      </c>
      <c r="BY635" s="59">
        <v>0</v>
      </c>
      <c r="BZ635" s="59">
        <v>0</v>
      </c>
      <c r="CA635" s="59">
        <v>0</v>
      </c>
      <c r="CB635" s="59">
        <v>0</v>
      </c>
      <c r="CC635" s="221"/>
      <c r="CD635" s="59">
        <v>5</v>
      </c>
      <c r="CE635" s="59">
        <v>2</v>
      </c>
      <c r="CF635" s="317">
        <v>0</v>
      </c>
      <c r="CG635" s="59">
        <v>0</v>
      </c>
      <c r="CH635" s="59">
        <v>0</v>
      </c>
      <c r="CI635" s="59">
        <v>0</v>
      </c>
      <c r="CJ635" s="59">
        <v>1</v>
      </c>
      <c r="CK635" s="59"/>
      <c r="CL635" s="59">
        <v>0</v>
      </c>
      <c r="CM635" s="59">
        <v>0</v>
      </c>
      <c r="CN635" s="59">
        <v>0</v>
      </c>
      <c r="CO635" s="59">
        <v>12</v>
      </c>
      <c r="CP635" s="317"/>
      <c r="CQ635" s="59">
        <v>0</v>
      </c>
      <c r="CR635" s="59"/>
      <c r="CS635" s="59">
        <v>0</v>
      </c>
      <c r="CT635" s="59">
        <v>5</v>
      </c>
      <c r="CU635" s="59">
        <v>0</v>
      </c>
      <c r="CV635" s="59">
        <v>3</v>
      </c>
      <c r="CW635" s="59">
        <v>0</v>
      </c>
      <c r="CX635" s="59"/>
      <c r="CY635" s="59">
        <v>0</v>
      </c>
      <c r="CZ635" s="59">
        <v>0</v>
      </c>
      <c r="DA635" s="59">
        <v>0</v>
      </c>
      <c r="DB635" s="59">
        <v>4</v>
      </c>
      <c r="DC635" s="59">
        <v>6</v>
      </c>
      <c r="DD635" s="59">
        <v>0</v>
      </c>
      <c r="DE635" s="59">
        <v>0</v>
      </c>
      <c r="DF635" s="59">
        <v>0</v>
      </c>
      <c r="DG635" s="59">
        <v>1</v>
      </c>
      <c r="DH635" s="59">
        <v>0</v>
      </c>
      <c r="DI635" s="59">
        <v>0</v>
      </c>
      <c r="DJ635" s="59">
        <v>0</v>
      </c>
      <c r="DK635" s="59">
        <v>0</v>
      </c>
      <c r="DL635" s="59">
        <v>0</v>
      </c>
      <c r="DM635" s="59">
        <v>0</v>
      </c>
      <c r="DN635" s="59">
        <v>0</v>
      </c>
      <c r="DO635" s="59">
        <v>3</v>
      </c>
      <c r="DP635" s="59">
        <v>1</v>
      </c>
      <c r="DQ635" s="59">
        <v>0</v>
      </c>
      <c r="DR635" s="59"/>
      <c r="DS635" s="59">
        <v>1</v>
      </c>
      <c r="DT635" s="59">
        <v>0</v>
      </c>
      <c r="DU635" s="59">
        <v>0</v>
      </c>
      <c r="DV635" s="38">
        <f t="shared" si="302"/>
        <v>51</v>
      </c>
      <c r="DW635" s="14" t="str">
        <f t="shared" si="301"/>
        <v/>
      </c>
      <c r="DY635">
        <f t="shared" si="304"/>
        <v>51</v>
      </c>
    </row>
    <row r="636" spans="1:130" customFormat="1">
      <c r="A636" s="210">
        <v>39783</v>
      </c>
      <c r="B636" s="211"/>
      <c r="C636" s="61">
        <v>2</v>
      </c>
      <c r="D636" s="59">
        <v>11</v>
      </c>
      <c r="E636" s="59">
        <v>0</v>
      </c>
      <c r="F636" s="59">
        <v>0</v>
      </c>
      <c r="G636" s="59">
        <v>1</v>
      </c>
      <c r="H636" s="59">
        <v>2</v>
      </c>
      <c r="I636" s="59">
        <v>0</v>
      </c>
      <c r="J636" s="59">
        <v>3</v>
      </c>
      <c r="K636" s="59">
        <v>0</v>
      </c>
      <c r="L636" s="59">
        <v>0</v>
      </c>
      <c r="M636" s="59">
        <v>0</v>
      </c>
      <c r="N636" s="59">
        <v>0</v>
      </c>
      <c r="O636" s="59">
        <v>10</v>
      </c>
      <c r="P636" s="59">
        <v>3</v>
      </c>
      <c r="Q636" s="59">
        <v>0</v>
      </c>
      <c r="R636" s="59">
        <v>0</v>
      </c>
      <c r="S636" s="35">
        <f t="shared" si="303"/>
        <v>32</v>
      </c>
      <c r="T636" s="59"/>
      <c r="U636" s="59">
        <v>22</v>
      </c>
      <c r="V636" s="59">
        <v>15</v>
      </c>
      <c r="W636" s="59">
        <v>0</v>
      </c>
      <c r="X636" s="5">
        <v>0</v>
      </c>
      <c r="Y636" s="10"/>
      <c r="Z636" s="61">
        <v>4229120</v>
      </c>
      <c r="AA636" s="101"/>
      <c r="AB636" s="101"/>
      <c r="AC636" s="61">
        <v>665724</v>
      </c>
      <c r="AD636" s="59"/>
      <c r="AE636" s="35">
        <f t="shared" si="300"/>
        <v>665724</v>
      </c>
      <c r="AF636" s="10"/>
      <c r="AG636" s="61">
        <v>41</v>
      </c>
      <c r="AH636" s="59">
        <v>130</v>
      </c>
      <c r="AI636" s="59">
        <v>180</v>
      </c>
      <c r="AJ636" s="62"/>
      <c r="AK636" s="10"/>
      <c r="AL636" s="8"/>
      <c r="AM636" s="10"/>
      <c r="AN636" s="35"/>
      <c r="AO636" s="279"/>
      <c r="AP636" s="279"/>
      <c r="AQ636" s="281"/>
      <c r="AR636" s="59">
        <v>140</v>
      </c>
      <c r="AS636" s="59">
        <v>80</v>
      </c>
      <c r="AT636" s="59">
        <v>134</v>
      </c>
      <c r="AU636" s="59">
        <v>17</v>
      </c>
      <c r="AV636" s="62">
        <v>276</v>
      </c>
      <c r="AW636" s="10"/>
      <c r="AX636" s="326">
        <v>39781</v>
      </c>
      <c r="AY636" s="5">
        <v>-2</v>
      </c>
      <c r="AZ636" s="10"/>
      <c r="BA636" s="61">
        <v>1918</v>
      </c>
      <c r="BB636" s="59">
        <v>57232957</v>
      </c>
      <c r="BC636" s="59"/>
      <c r="BD636" s="59"/>
      <c r="BE636" s="59">
        <v>49</v>
      </c>
      <c r="BF636" s="59">
        <v>12</v>
      </c>
      <c r="BG636" s="62">
        <v>1</v>
      </c>
      <c r="BH636" s="351"/>
      <c r="BI636" s="59">
        <v>2523707</v>
      </c>
      <c r="BJ636" s="342">
        <v>39792</v>
      </c>
      <c r="BK636" s="342">
        <v>39798</v>
      </c>
      <c r="BL636" s="320">
        <f>BK636-BJ636</f>
        <v>6</v>
      </c>
      <c r="BM636" s="62"/>
      <c r="BN636" s="10"/>
      <c r="BO636" s="8"/>
      <c r="BP636" s="62">
        <v>162</v>
      </c>
      <c r="BQ636" s="10"/>
      <c r="BR636" s="29">
        <v>2009</v>
      </c>
      <c r="BS636" s="64">
        <v>2008</v>
      </c>
      <c r="BT636" s="14">
        <v>23</v>
      </c>
      <c r="BU636" s="10"/>
      <c r="BV636" s="8">
        <v>6</v>
      </c>
      <c r="BW636" s="59">
        <v>0</v>
      </c>
      <c r="BX636" s="59">
        <v>1</v>
      </c>
      <c r="BY636" s="59">
        <v>0</v>
      </c>
      <c r="BZ636" s="59">
        <v>0</v>
      </c>
      <c r="CA636" s="59">
        <v>0</v>
      </c>
      <c r="CB636" s="59">
        <v>0</v>
      </c>
      <c r="CC636" s="221"/>
      <c r="CD636" s="59">
        <v>3</v>
      </c>
      <c r="CE636" s="59">
        <v>0</v>
      </c>
      <c r="CF636" s="317">
        <v>0</v>
      </c>
      <c r="CG636" s="59">
        <v>0</v>
      </c>
      <c r="CH636" s="59">
        <v>0</v>
      </c>
      <c r="CI636" s="59">
        <v>8</v>
      </c>
      <c r="CJ636" s="59">
        <v>4</v>
      </c>
      <c r="CK636" s="59"/>
      <c r="CL636" s="59">
        <v>0</v>
      </c>
      <c r="CM636" s="59">
        <v>0</v>
      </c>
      <c r="CN636" s="59">
        <v>1</v>
      </c>
      <c r="CO636" s="59">
        <v>3</v>
      </c>
      <c r="CP636" s="317"/>
      <c r="CQ636" s="59">
        <v>3</v>
      </c>
      <c r="CR636" s="59"/>
      <c r="CS636" s="59">
        <v>0</v>
      </c>
      <c r="CT636" s="59">
        <v>0</v>
      </c>
      <c r="CU636" s="59">
        <v>0</v>
      </c>
      <c r="CV636" s="59">
        <v>0</v>
      </c>
      <c r="CW636" s="59">
        <v>0</v>
      </c>
      <c r="CX636" s="59"/>
      <c r="CY636" s="59">
        <v>1</v>
      </c>
      <c r="CZ636" s="59">
        <v>0</v>
      </c>
      <c r="DA636" s="59">
        <v>0</v>
      </c>
      <c r="DB636" s="59">
        <v>1</v>
      </c>
      <c r="DC636" s="59">
        <v>0</v>
      </c>
      <c r="DD636" s="59">
        <v>0</v>
      </c>
      <c r="DE636" s="59">
        <v>0</v>
      </c>
      <c r="DF636" s="59">
        <v>0</v>
      </c>
      <c r="DG636" s="59">
        <v>1</v>
      </c>
      <c r="DH636" s="59">
        <v>0</v>
      </c>
      <c r="DI636" s="59">
        <v>0</v>
      </c>
      <c r="DJ636" s="59">
        <v>0</v>
      </c>
      <c r="DK636" s="59">
        <v>0</v>
      </c>
      <c r="DL636" s="59">
        <v>0</v>
      </c>
      <c r="DM636" s="59">
        <v>0</v>
      </c>
      <c r="DN636" s="59">
        <v>0</v>
      </c>
      <c r="DO636" s="59">
        <v>0</v>
      </c>
      <c r="DP636" s="59">
        <v>0</v>
      </c>
      <c r="DQ636" s="59">
        <v>0</v>
      </c>
      <c r="DR636" s="59"/>
      <c r="DS636" s="59">
        <v>0</v>
      </c>
      <c r="DT636" s="59">
        <v>0</v>
      </c>
      <c r="DU636" s="59">
        <v>0</v>
      </c>
      <c r="DV636" s="38">
        <f t="shared" si="302"/>
        <v>32</v>
      </c>
      <c r="DW636" s="14" t="str">
        <f t="shared" si="301"/>
        <v/>
      </c>
      <c r="DY636">
        <f t="shared" si="304"/>
        <v>32</v>
      </c>
    </row>
    <row r="637" spans="1:130" customFormat="1">
      <c r="A637" s="210">
        <v>39797</v>
      </c>
      <c r="B637" s="211"/>
      <c r="C637" s="61">
        <v>3</v>
      </c>
      <c r="D637" s="59">
        <v>10</v>
      </c>
      <c r="E637" s="59">
        <v>0</v>
      </c>
      <c r="F637" s="59">
        <v>1</v>
      </c>
      <c r="G637" s="59">
        <v>2</v>
      </c>
      <c r="H637" s="59">
        <v>0</v>
      </c>
      <c r="I637" s="59">
        <v>0</v>
      </c>
      <c r="J637" s="59">
        <v>3</v>
      </c>
      <c r="K637" s="59">
        <v>1</v>
      </c>
      <c r="L637" s="59">
        <v>1</v>
      </c>
      <c r="M637" s="59">
        <v>0</v>
      </c>
      <c r="N637" s="59">
        <v>0</v>
      </c>
      <c r="O637" s="59">
        <v>21</v>
      </c>
      <c r="P637" s="59">
        <v>1</v>
      </c>
      <c r="Q637" s="59">
        <v>0</v>
      </c>
      <c r="R637" s="59">
        <v>0</v>
      </c>
      <c r="S637" s="35">
        <f t="shared" si="303"/>
        <v>43</v>
      </c>
      <c r="T637" s="59"/>
      <c r="U637" s="59">
        <v>14</v>
      </c>
      <c r="V637" s="59">
        <v>11</v>
      </c>
      <c r="W637" s="59">
        <v>0</v>
      </c>
      <c r="X637" s="5">
        <v>0</v>
      </c>
      <c r="Y637" s="59"/>
      <c r="Z637" s="61">
        <v>4345344</v>
      </c>
      <c r="AA637" s="101"/>
      <c r="AB637" s="101"/>
      <c r="AC637" s="61">
        <v>530100</v>
      </c>
      <c r="AD637" s="59"/>
      <c r="AE637" s="35">
        <f t="shared" si="300"/>
        <v>530100</v>
      </c>
      <c r="AF637" s="10"/>
      <c r="AG637" s="61">
        <v>42</v>
      </c>
      <c r="AH637" s="59">
        <v>134</v>
      </c>
      <c r="AI637" s="59">
        <v>186</v>
      </c>
      <c r="AJ637" s="62"/>
      <c r="AK637" s="10"/>
      <c r="AL637" s="8"/>
      <c r="AM637" s="10"/>
      <c r="AN637" s="35"/>
      <c r="AO637" s="279"/>
      <c r="AP637" s="279"/>
      <c r="AQ637" s="281"/>
      <c r="AR637" s="59">
        <v>140</v>
      </c>
      <c r="AS637" s="59">
        <v>80</v>
      </c>
      <c r="AT637" s="59">
        <v>134</v>
      </c>
      <c r="AU637" s="59">
        <v>17</v>
      </c>
      <c r="AV637" s="62">
        <v>276</v>
      </c>
      <c r="AW637" s="10"/>
      <c r="AX637" s="326">
        <v>39793</v>
      </c>
      <c r="AY637" s="5">
        <v>-4</v>
      </c>
      <c r="AZ637" s="10"/>
      <c r="BA637" s="61"/>
      <c r="BB637" s="59"/>
      <c r="BC637" s="59"/>
      <c r="BD637" s="59"/>
      <c r="BE637" s="59"/>
      <c r="BF637" s="59"/>
      <c r="BG637" s="62"/>
      <c r="BH637" s="351"/>
      <c r="BI637" s="59"/>
      <c r="BJ637" s="342"/>
      <c r="BK637" s="335"/>
      <c r="BL637" s="320"/>
      <c r="BM637" s="62"/>
      <c r="BN637" s="10"/>
      <c r="BO637" s="8"/>
      <c r="BP637" s="62"/>
      <c r="BQ637" s="10"/>
      <c r="BR637" s="29">
        <v>2009</v>
      </c>
      <c r="BS637" s="64">
        <v>2008</v>
      </c>
      <c r="BT637" s="14">
        <v>24</v>
      </c>
      <c r="BU637" s="10"/>
      <c r="BV637" s="8">
        <v>3</v>
      </c>
      <c r="BW637" s="59">
        <v>0</v>
      </c>
      <c r="BX637" s="59">
        <v>8</v>
      </c>
      <c r="BY637" s="59">
        <v>0</v>
      </c>
      <c r="BZ637" s="59">
        <v>0</v>
      </c>
      <c r="CA637" s="59">
        <v>0</v>
      </c>
      <c r="CB637" s="59">
        <v>0</v>
      </c>
      <c r="CC637" s="221"/>
      <c r="CD637" s="59">
        <v>0</v>
      </c>
      <c r="CE637" s="59">
        <v>0</v>
      </c>
      <c r="CF637" s="317">
        <v>0</v>
      </c>
      <c r="CG637" s="59">
        <v>0</v>
      </c>
      <c r="CH637" s="59">
        <v>2</v>
      </c>
      <c r="CI637" s="59">
        <v>0</v>
      </c>
      <c r="CJ637" s="59">
        <v>12</v>
      </c>
      <c r="CK637" s="59"/>
      <c r="CL637" s="59">
        <v>0</v>
      </c>
      <c r="CM637" s="59">
        <v>0</v>
      </c>
      <c r="CN637" s="59">
        <v>0</v>
      </c>
      <c r="CO637" s="59">
        <v>5</v>
      </c>
      <c r="CP637" s="317"/>
      <c r="CQ637" s="59">
        <v>0</v>
      </c>
      <c r="CR637" s="59"/>
      <c r="CS637" s="59">
        <v>0</v>
      </c>
      <c r="CT637" s="59">
        <v>5</v>
      </c>
      <c r="CU637" s="59">
        <v>0</v>
      </c>
      <c r="CV637" s="59">
        <v>1</v>
      </c>
      <c r="CW637" s="59">
        <v>0</v>
      </c>
      <c r="CX637" s="59"/>
      <c r="CY637" s="59">
        <v>0</v>
      </c>
      <c r="CZ637" s="59">
        <v>0</v>
      </c>
      <c r="DA637" s="59">
        <v>0</v>
      </c>
      <c r="DB637" s="59">
        <v>0</v>
      </c>
      <c r="DC637" s="59">
        <v>0</v>
      </c>
      <c r="DD637" s="59">
        <v>0</v>
      </c>
      <c r="DE637" s="59">
        <v>0</v>
      </c>
      <c r="DF637" s="59">
        <v>0</v>
      </c>
      <c r="DG637" s="59">
        <v>1</v>
      </c>
      <c r="DH637" s="59">
        <v>1</v>
      </c>
      <c r="DI637" s="59">
        <v>0</v>
      </c>
      <c r="DJ637" s="59">
        <v>1</v>
      </c>
      <c r="DK637" s="59">
        <v>0</v>
      </c>
      <c r="DL637" s="59">
        <v>0</v>
      </c>
      <c r="DM637" s="59">
        <v>0</v>
      </c>
      <c r="DN637" s="59">
        <v>0</v>
      </c>
      <c r="DO637" s="59">
        <v>4</v>
      </c>
      <c r="DP637" s="59">
        <v>0</v>
      </c>
      <c r="DQ637" s="59">
        <v>0</v>
      </c>
      <c r="DR637" s="59"/>
      <c r="DS637" s="59">
        <v>0</v>
      </c>
      <c r="DT637" s="59">
        <v>0</v>
      </c>
      <c r="DU637" s="59">
        <v>0</v>
      </c>
      <c r="DV637" s="38">
        <f t="shared" si="302"/>
        <v>43</v>
      </c>
      <c r="DW637" s="14" t="str">
        <f t="shared" si="301"/>
        <v/>
      </c>
      <c r="DY637">
        <f t="shared" si="304"/>
        <v>43</v>
      </c>
      <c r="DZ637" t="str">
        <f t="shared" ref="DZ637:DZ649" si="305">IF(DV637-DY637=0,"",DV637-DY637)</f>
        <v/>
      </c>
    </row>
    <row r="638" spans="1:130" customFormat="1">
      <c r="A638" s="210">
        <v>39814</v>
      </c>
      <c r="B638" s="211"/>
      <c r="C638" s="8">
        <v>0</v>
      </c>
      <c r="D638" s="59">
        <v>14</v>
      </c>
      <c r="E638" s="59">
        <v>0</v>
      </c>
      <c r="F638" s="59">
        <v>0</v>
      </c>
      <c r="G638" s="59">
        <v>1</v>
      </c>
      <c r="H638" s="59">
        <v>1</v>
      </c>
      <c r="I638" s="59">
        <v>0</v>
      </c>
      <c r="J638" s="59">
        <v>1</v>
      </c>
      <c r="K638" s="59">
        <v>0</v>
      </c>
      <c r="L638" s="59">
        <v>0</v>
      </c>
      <c r="M638" s="59">
        <v>0</v>
      </c>
      <c r="N638" s="59">
        <v>0</v>
      </c>
      <c r="O638" s="59">
        <v>13</v>
      </c>
      <c r="P638" s="59">
        <v>1</v>
      </c>
      <c r="Q638" s="59">
        <v>0</v>
      </c>
      <c r="R638" s="59">
        <v>0</v>
      </c>
      <c r="S638" s="35">
        <f t="shared" si="303"/>
        <v>31</v>
      </c>
      <c r="T638" s="59"/>
      <c r="U638" s="59">
        <v>18</v>
      </c>
      <c r="V638" s="59">
        <v>14</v>
      </c>
      <c r="W638" s="59">
        <v>0</v>
      </c>
      <c r="X638" s="62">
        <v>0</v>
      </c>
      <c r="Y638" s="10"/>
      <c r="Z638" s="61">
        <v>562688</v>
      </c>
      <c r="AA638" s="101"/>
      <c r="AB638" s="101"/>
      <c r="AC638" s="61">
        <v>476324</v>
      </c>
      <c r="AD638" s="59"/>
      <c r="AE638" s="35">
        <f t="shared" si="300"/>
        <v>476324</v>
      </c>
      <c r="AF638" s="10"/>
      <c r="AG638" s="61">
        <v>53</v>
      </c>
      <c r="AH638" s="59">
        <v>1</v>
      </c>
      <c r="AI638" s="59">
        <v>64</v>
      </c>
      <c r="AJ638" s="62"/>
      <c r="AK638" s="10"/>
      <c r="AL638" s="61">
        <v>0</v>
      </c>
      <c r="AM638" s="59">
        <v>41</v>
      </c>
      <c r="AN638" s="35">
        <f>SUM(AL638:AM638)</f>
        <v>41</v>
      </c>
      <c r="AO638" s="279"/>
      <c r="AP638" s="279"/>
      <c r="AQ638" s="281"/>
      <c r="AR638" s="59">
        <v>136</v>
      </c>
      <c r="AS638" s="59">
        <v>83</v>
      </c>
      <c r="AT638" s="59">
        <v>134</v>
      </c>
      <c r="AU638" s="59">
        <v>17</v>
      </c>
      <c r="AV638" s="62">
        <v>279</v>
      </c>
      <c r="AW638" s="10"/>
      <c r="AX638" s="326">
        <v>39812</v>
      </c>
      <c r="AY638" s="5">
        <v>-2</v>
      </c>
      <c r="AZ638" s="10"/>
      <c r="BA638" s="8">
        <v>1923</v>
      </c>
      <c r="BB638" s="356">
        <v>57918887</v>
      </c>
      <c r="BC638" s="356"/>
      <c r="BD638" s="356"/>
      <c r="BE638" s="356">
        <v>92</v>
      </c>
      <c r="BF638" s="356">
        <v>6</v>
      </c>
      <c r="BG638" s="5">
        <v>1</v>
      </c>
      <c r="BH638" s="30"/>
      <c r="BI638" s="356">
        <v>5036076</v>
      </c>
      <c r="BJ638" s="327">
        <v>39823</v>
      </c>
      <c r="BK638" s="342">
        <v>39853</v>
      </c>
      <c r="BL638" s="320">
        <f>BK638-BJ638</f>
        <v>30</v>
      </c>
      <c r="BM638" s="62"/>
      <c r="BN638" s="10"/>
      <c r="BO638" s="8"/>
      <c r="BP638" s="5">
        <v>163</v>
      </c>
      <c r="BQ638" s="10"/>
      <c r="BR638" s="29">
        <v>2009</v>
      </c>
      <c r="BS638" s="64">
        <v>2009</v>
      </c>
      <c r="BT638" s="14">
        <v>1</v>
      </c>
      <c r="BU638" s="10"/>
      <c r="BV638" s="8">
        <v>3</v>
      </c>
      <c r="BW638" s="59">
        <v>1</v>
      </c>
      <c r="BX638" s="59">
        <v>0</v>
      </c>
      <c r="BY638" s="59">
        <v>0</v>
      </c>
      <c r="BZ638" s="59">
        <v>0</v>
      </c>
      <c r="CA638" s="59">
        <v>0</v>
      </c>
      <c r="CB638" s="59">
        <v>0</v>
      </c>
      <c r="CC638" s="221"/>
      <c r="CD638" s="59">
        <v>2</v>
      </c>
      <c r="CE638" s="59">
        <v>0</v>
      </c>
      <c r="CF638" s="317">
        <v>0</v>
      </c>
      <c r="CG638" s="59">
        <v>0</v>
      </c>
      <c r="CH638" s="59">
        <v>3</v>
      </c>
      <c r="CI638" s="59">
        <v>0</v>
      </c>
      <c r="CJ638" s="59">
        <v>2</v>
      </c>
      <c r="CK638" s="59"/>
      <c r="CL638" s="59">
        <v>0</v>
      </c>
      <c r="CM638" s="59">
        <v>0</v>
      </c>
      <c r="CN638" s="59">
        <v>0</v>
      </c>
      <c r="CO638" s="59">
        <v>3</v>
      </c>
      <c r="CP638" s="317"/>
      <c r="CQ638" s="59">
        <v>1</v>
      </c>
      <c r="CR638" s="59"/>
      <c r="CS638" s="59">
        <v>0</v>
      </c>
      <c r="CT638" s="59">
        <v>4</v>
      </c>
      <c r="CU638" s="59">
        <v>0</v>
      </c>
      <c r="CV638" s="59">
        <v>0</v>
      </c>
      <c r="CW638" s="59">
        <v>0</v>
      </c>
      <c r="CX638" s="59"/>
      <c r="CY638" s="59">
        <v>1</v>
      </c>
      <c r="CZ638" s="59">
        <v>0</v>
      </c>
      <c r="DA638" s="59">
        <v>0</v>
      </c>
      <c r="DB638" s="59">
        <v>2</v>
      </c>
      <c r="DC638" s="59">
        <v>0</v>
      </c>
      <c r="DD638" s="59">
        <v>0</v>
      </c>
      <c r="DE638" s="59">
        <v>0</v>
      </c>
      <c r="DF638" s="59">
        <v>0</v>
      </c>
      <c r="DG638" s="59">
        <v>2</v>
      </c>
      <c r="DH638" s="59">
        <v>0</v>
      </c>
      <c r="DI638" s="59">
        <v>0</v>
      </c>
      <c r="DJ638" s="59">
        <v>0</v>
      </c>
      <c r="DK638" s="59">
        <v>0</v>
      </c>
      <c r="DL638" s="59">
        <v>2</v>
      </c>
      <c r="DM638" s="59">
        <v>0</v>
      </c>
      <c r="DN638" s="59">
        <v>0</v>
      </c>
      <c r="DO638" s="59">
        <v>4</v>
      </c>
      <c r="DP638" s="59">
        <v>0</v>
      </c>
      <c r="DQ638" s="59">
        <v>0</v>
      </c>
      <c r="DR638" s="59"/>
      <c r="DS638" s="59">
        <v>1</v>
      </c>
      <c r="DT638" s="59">
        <v>0</v>
      </c>
      <c r="DU638" s="59">
        <v>0</v>
      </c>
      <c r="DV638" s="38">
        <f t="shared" si="302"/>
        <v>31</v>
      </c>
      <c r="DW638" s="14" t="str">
        <f t="shared" si="301"/>
        <v/>
      </c>
      <c r="DY638">
        <f t="shared" si="304"/>
        <v>31</v>
      </c>
      <c r="DZ638" t="str">
        <f t="shared" si="305"/>
        <v/>
      </c>
    </row>
    <row r="639" spans="1:130" customFormat="1">
      <c r="A639" s="210">
        <v>39828</v>
      </c>
      <c r="B639" s="211"/>
      <c r="C639" s="8">
        <v>2</v>
      </c>
      <c r="D639" s="59">
        <v>18</v>
      </c>
      <c r="E639" s="59">
        <v>0</v>
      </c>
      <c r="F639" s="59">
        <v>0</v>
      </c>
      <c r="G639" s="59">
        <v>0</v>
      </c>
      <c r="H639" s="59">
        <v>1</v>
      </c>
      <c r="I639" s="59">
        <v>0</v>
      </c>
      <c r="J639" s="59">
        <v>7</v>
      </c>
      <c r="K639" s="59">
        <v>1</v>
      </c>
      <c r="L639" s="59">
        <v>0</v>
      </c>
      <c r="M639" s="59">
        <v>0</v>
      </c>
      <c r="N639" s="59">
        <v>0</v>
      </c>
      <c r="O639" s="59">
        <v>18</v>
      </c>
      <c r="P639" s="59">
        <v>0</v>
      </c>
      <c r="Q639" s="59">
        <v>0</v>
      </c>
      <c r="R639" s="59">
        <v>0</v>
      </c>
      <c r="S639" s="35">
        <f t="shared" si="303"/>
        <v>47</v>
      </c>
      <c r="T639" s="59"/>
      <c r="U639" s="59">
        <v>3</v>
      </c>
      <c r="V639" s="59">
        <v>3</v>
      </c>
      <c r="W639" s="59">
        <v>0</v>
      </c>
      <c r="X639" s="62">
        <v>0</v>
      </c>
      <c r="Y639" s="10"/>
      <c r="Z639" s="61">
        <v>1811968</v>
      </c>
      <c r="AA639" s="101"/>
      <c r="AB639" s="101"/>
      <c r="AC639" s="61">
        <v>534388</v>
      </c>
      <c r="AD639" s="59"/>
      <c r="AE639" s="35">
        <f t="shared" si="300"/>
        <v>534388</v>
      </c>
      <c r="AF639" s="10"/>
      <c r="AG639" s="61">
        <v>49</v>
      </c>
      <c r="AH639" s="59">
        <v>124</v>
      </c>
      <c r="AI639" s="59">
        <v>182</v>
      </c>
      <c r="AJ639" s="62"/>
      <c r="AK639" s="10"/>
      <c r="AL639" s="8"/>
      <c r="AM639" s="10"/>
      <c r="AN639" s="35"/>
      <c r="AO639" s="279"/>
      <c r="AP639" s="279"/>
      <c r="AQ639" s="281"/>
      <c r="AR639" s="59">
        <v>136</v>
      </c>
      <c r="AS639" s="59">
        <v>84</v>
      </c>
      <c r="AT639" s="59">
        <v>135</v>
      </c>
      <c r="AU639" s="59">
        <v>17</v>
      </c>
      <c r="AV639" s="62">
        <v>281</v>
      </c>
      <c r="AW639" s="10"/>
      <c r="AX639" s="326">
        <v>39827</v>
      </c>
      <c r="AY639" s="5">
        <v>-1</v>
      </c>
      <c r="AZ639" s="10"/>
      <c r="BA639" s="61"/>
      <c r="BB639" s="59"/>
      <c r="BC639" s="59"/>
      <c r="BD639" s="59"/>
      <c r="BE639" s="59"/>
      <c r="BF639" s="59"/>
      <c r="BG639" s="62"/>
      <c r="BH639" s="351"/>
      <c r="BI639" s="59"/>
      <c r="BJ639" s="342"/>
      <c r="BK639" s="342"/>
      <c r="BL639" s="320"/>
      <c r="BM639" s="62"/>
      <c r="BN639" s="10"/>
      <c r="BO639" s="8"/>
      <c r="BP639" s="62"/>
      <c r="BQ639" s="10"/>
      <c r="BR639" s="29">
        <v>2009</v>
      </c>
      <c r="BS639" s="64">
        <v>2009</v>
      </c>
      <c r="BT639" s="14">
        <v>2</v>
      </c>
      <c r="BU639" s="10"/>
      <c r="BV639" s="8">
        <v>0</v>
      </c>
      <c r="BW639" s="59">
        <v>0</v>
      </c>
      <c r="BX639" s="59">
        <v>1</v>
      </c>
      <c r="BY639" s="59">
        <v>0</v>
      </c>
      <c r="BZ639" s="59">
        <v>0</v>
      </c>
      <c r="CA639" s="59">
        <v>0</v>
      </c>
      <c r="CB639" s="59">
        <v>0</v>
      </c>
      <c r="CC639" s="221"/>
      <c r="CD639" s="59">
        <v>4</v>
      </c>
      <c r="CE639" s="59">
        <v>4</v>
      </c>
      <c r="CF639" s="317">
        <v>0</v>
      </c>
      <c r="CG639" s="59">
        <v>0</v>
      </c>
      <c r="CH639" s="59">
        <v>0</v>
      </c>
      <c r="CI639" s="59">
        <v>7</v>
      </c>
      <c r="CJ639" s="59">
        <v>1</v>
      </c>
      <c r="CK639" s="59"/>
      <c r="CL639" s="59">
        <v>0</v>
      </c>
      <c r="CM639" s="59">
        <v>0</v>
      </c>
      <c r="CN639" s="59">
        <v>0</v>
      </c>
      <c r="CO639" s="59">
        <v>15</v>
      </c>
      <c r="CP639" s="317"/>
      <c r="CQ639" s="59">
        <v>0</v>
      </c>
      <c r="CR639" s="59"/>
      <c r="CS639" s="59">
        <v>0</v>
      </c>
      <c r="CT639" s="59">
        <v>1</v>
      </c>
      <c r="CU639" s="59">
        <v>0</v>
      </c>
      <c r="CV639" s="59">
        <v>1</v>
      </c>
      <c r="CW639" s="59">
        <v>0</v>
      </c>
      <c r="CX639" s="59"/>
      <c r="CY639" s="59">
        <v>1</v>
      </c>
      <c r="CZ639" s="59">
        <v>0</v>
      </c>
      <c r="DA639" s="59">
        <v>0</v>
      </c>
      <c r="DB639" s="59">
        <v>0</v>
      </c>
      <c r="DC639" s="59">
        <v>0</v>
      </c>
      <c r="DD639" s="59">
        <v>0</v>
      </c>
      <c r="DE639" s="59">
        <v>0</v>
      </c>
      <c r="DF639" s="59">
        <v>0</v>
      </c>
      <c r="DG639" s="59">
        <v>1</v>
      </c>
      <c r="DH639" s="59">
        <v>1</v>
      </c>
      <c r="DI639" s="59">
        <v>0</v>
      </c>
      <c r="DJ639" s="59">
        <v>1</v>
      </c>
      <c r="DK639" s="59">
        <v>0</v>
      </c>
      <c r="DL639" s="59">
        <v>0</v>
      </c>
      <c r="DM639" s="59">
        <v>3</v>
      </c>
      <c r="DN639" s="59">
        <v>0</v>
      </c>
      <c r="DO639" s="59">
        <v>1</v>
      </c>
      <c r="DP639" s="59">
        <v>0</v>
      </c>
      <c r="DQ639" s="59">
        <v>0</v>
      </c>
      <c r="DR639" s="59"/>
      <c r="DS639" s="59">
        <v>5</v>
      </c>
      <c r="DT639" s="59">
        <v>0</v>
      </c>
      <c r="DU639" s="59">
        <v>0</v>
      </c>
      <c r="DV639" s="38">
        <f t="shared" si="302"/>
        <v>47</v>
      </c>
      <c r="DW639" s="14" t="str">
        <f t="shared" si="301"/>
        <v/>
      </c>
      <c r="DY639">
        <f t="shared" si="304"/>
        <v>47</v>
      </c>
      <c r="DZ639" t="str">
        <f t="shared" si="305"/>
        <v/>
      </c>
    </row>
    <row r="640" spans="1:130" customFormat="1">
      <c r="A640" s="210">
        <v>39845</v>
      </c>
      <c r="B640" s="211"/>
      <c r="C640" s="61">
        <v>2</v>
      </c>
      <c r="D640" s="59">
        <v>21</v>
      </c>
      <c r="E640" s="59">
        <v>0</v>
      </c>
      <c r="F640" s="59">
        <v>1</v>
      </c>
      <c r="G640" s="59">
        <v>0</v>
      </c>
      <c r="H640" s="59">
        <v>3</v>
      </c>
      <c r="I640" s="59">
        <v>0</v>
      </c>
      <c r="J640" s="59">
        <v>14</v>
      </c>
      <c r="K640" s="59">
        <v>0</v>
      </c>
      <c r="L640" s="59">
        <v>0</v>
      </c>
      <c r="M640" s="59">
        <v>0</v>
      </c>
      <c r="N640" s="59">
        <v>0</v>
      </c>
      <c r="O640" s="59">
        <v>13</v>
      </c>
      <c r="P640" s="59">
        <v>0</v>
      </c>
      <c r="Q640" s="59">
        <v>0</v>
      </c>
      <c r="R640" s="59">
        <v>0</v>
      </c>
      <c r="S640" s="35">
        <f t="shared" si="303"/>
        <v>54</v>
      </c>
      <c r="T640" s="59"/>
      <c r="U640" s="59">
        <v>10</v>
      </c>
      <c r="V640" s="59">
        <v>10</v>
      </c>
      <c r="W640" s="59">
        <v>0</v>
      </c>
      <c r="X640" s="62">
        <v>0</v>
      </c>
      <c r="Y640" s="10"/>
      <c r="Z640" s="61">
        <v>1324032</v>
      </c>
      <c r="AA640" s="101"/>
      <c r="AB640" s="101"/>
      <c r="AC640" s="61">
        <v>1077242</v>
      </c>
      <c r="AD640" s="59"/>
      <c r="AE640" s="35">
        <f t="shared" si="300"/>
        <v>1077242</v>
      </c>
      <c r="AF640" s="10"/>
      <c r="AG640" s="61">
        <v>88</v>
      </c>
      <c r="AH640" s="59">
        <v>19</v>
      </c>
      <c r="AI640" s="59">
        <v>118</v>
      </c>
      <c r="AJ640" s="62"/>
      <c r="AK640" s="10"/>
      <c r="AL640" s="8"/>
      <c r="AM640" s="10"/>
      <c r="AN640" s="35"/>
      <c r="AO640" s="279"/>
      <c r="AP640" s="279"/>
      <c r="AQ640" s="281"/>
      <c r="AR640" s="59">
        <v>136</v>
      </c>
      <c r="AS640" s="59"/>
      <c r="AT640" s="59"/>
      <c r="AU640" s="59"/>
      <c r="AV640" s="62"/>
      <c r="AW640" s="10"/>
      <c r="AX640" s="326">
        <v>39843</v>
      </c>
      <c r="AY640" s="5">
        <v>-2</v>
      </c>
      <c r="AZ640" s="10"/>
      <c r="BA640" s="61">
        <v>1930</v>
      </c>
      <c r="BB640" s="59">
        <v>58541142</v>
      </c>
      <c r="BC640" s="59"/>
      <c r="BD640" s="59"/>
      <c r="BE640" s="59">
        <v>75</v>
      </c>
      <c r="BF640" s="59">
        <v>7</v>
      </c>
      <c r="BG640" s="62">
        <v>0</v>
      </c>
      <c r="BH640" s="351"/>
      <c r="BI640" s="59">
        <v>3910676</v>
      </c>
      <c r="BJ640" s="342">
        <v>39854</v>
      </c>
      <c r="BK640" s="342">
        <v>39890</v>
      </c>
      <c r="BL640" s="320">
        <f>BK640-BJ640</f>
        <v>36</v>
      </c>
      <c r="BM640" s="62"/>
      <c r="BN640" s="10"/>
      <c r="BO640" s="8"/>
      <c r="BP640" s="62">
        <v>163</v>
      </c>
      <c r="BQ640" s="10"/>
      <c r="BR640" s="29">
        <v>2009</v>
      </c>
      <c r="BS640" s="64">
        <v>2009</v>
      </c>
      <c r="BT640" s="14">
        <v>3</v>
      </c>
      <c r="BU640" s="10"/>
      <c r="BV640" s="8">
        <v>2</v>
      </c>
      <c r="BW640" s="59">
        <v>1</v>
      </c>
      <c r="BX640" s="59">
        <v>0</v>
      </c>
      <c r="BY640" s="59">
        <v>0</v>
      </c>
      <c r="BZ640" s="59">
        <v>0</v>
      </c>
      <c r="CA640" s="59">
        <v>0</v>
      </c>
      <c r="CB640" s="59">
        <v>4</v>
      </c>
      <c r="CC640" s="221"/>
      <c r="CD640" s="59">
        <v>0</v>
      </c>
      <c r="CE640" s="59">
        <v>2</v>
      </c>
      <c r="CF640" s="317">
        <v>0</v>
      </c>
      <c r="CG640" s="59">
        <v>0</v>
      </c>
      <c r="CH640" s="59">
        <v>0</v>
      </c>
      <c r="CI640" s="59">
        <v>14</v>
      </c>
      <c r="CJ640" s="59">
        <v>1</v>
      </c>
      <c r="CK640" s="59"/>
      <c r="CL640" s="59">
        <v>0</v>
      </c>
      <c r="CM640" s="59">
        <v>0</v>
      </c>
      <c r="CN640" s="59">
        <v>0</v>
      </c>
      <c r="CO640" s="59">
        <v>5</v>
      </c>
      <c r="CP640" s="317"/>
      <c r="CQ640" s="59">
        <v>0</v>
      </c>
      <c r="CR640" s="59"/>
      <c r="CS640" s="59">
        <v>0</v>
      </c>
      <c r="CT640" s="59">
        <v>1</v>
      </c>
      <c r="CU640" s="59">
        <v>0</v>
      </c>
      <c r="CV640" s="59">
        <v>3</v>
      </c>
      <c r="CW640" s="59">
        <v>0</v>
      </c>
      <c r="CX640" s="59"/>
      <c r="CY640" s="59">
        <v>3</v>
      </c>
      <c r="CZ640" s="59">
        <v>0</v>
      </c>
      <c r="DA640" s="59">
        <v>2</v>
      </c>
      <c r="DB640" s="59">
        <v>7</v>
      </c>
      <c r="DC640" s="59">
        <v>0</v>
      </c>
      <c r="DD640" s="59">
        <v>0</v>
      </c>
      <c r="DE640" s="59">
        <v>0</v>
      </c>
      <c r="DF640" s="59">
        <v>0</v>
      </c>
      <c r="DG640" s="59">
        <v>2</v>
      </c>
      <c r="DH640" s="59">
        <v>2</v>
      </c>
      <c r="DI640" s="59">
        <v>1</v>
      </c>
      <c r="DJ640" s="59">
        <v>0</v>
      </c>
      <c r="DK640" s="59">
        <v>0</v>
      </c>
      <c r="DL640" s="59">
        <v>0</v>
      </c>
      <c r="DM640" s="59">
        <v>0</v>
      </c>
      <c r="DN640" s="59">
        <v>0</v>
      </c>
      <c r="DO640" s="59">
        <v>4</v>
      </c>
      <c r="DP640" s="59">
        <v>0</v>
      </c>
      <c r="DQ640" s="59">
        <v>0</v>
      </c>
      <c r="DR640" s="59"/>
      <c r="DS640" s="59">
        <v>0</v>
      </c>
      <c r="DT640" s="59">
        <v>0</v>
      </c>
      <c r="DU640" s="59">
        <v>0</v>
      </c>
      <c r="DV640" s="38">
        <f t="shared" si="302"/>
        <v>54</v>
      </c>
      <c r="DW640" s="14" t="str">
        <f t="shared" si="301"/>
        <v/>
      </c>
      <c r="DY640">
        <f t="shared" si="304"/>
        <v>54</v>
      </c>
      <c r="DZ640" t="str">
        <f t="shared" si="305"/>
        <v/>
      </c>
    </row>
    <row r="641" spans="1:130" customFormat="1">
      <c r="A641" s="210">
        <v>39859</v>
      </c>
      <c r="B641" s="211"/>
      <c r="C641" s="61">
        <v>1</v>
      </c>
      <c r="D641" s="59">
        <v>17</v>
      </c>
      <c r="E641" s="59">
        <v>0</v>
      </c>
      <c r="F641" s="59">
        <v>0</v>
      </c>
      <c r="G641" s="59">
        <v>0</v>
      </c>
      <c r="H641" s="59">
        <v>0</v>
      </c>
      <c r="I641" s="59">
        <v>0</v>
      </c>
      <c r="J641" s="59">
        <v>5</v>
      </c>
      <c r="K641" s="59">
        <v>0</v>
      </c>
      <c r="L641" s="59">
        <v>0</v>
      </c>
      <c r="M641" s="59">
        <v>0</v>
      </c>
      <c r="N641" s="59">
        <v>0</v>
      </c>
      <c r="O641" s="59">
        <v>4</v>
      </c>
      <c r="P641" s="59">
        <v>1</v>
      </c>
      <c r="Q641" s="59">
        <v>0</v>
      </c>
      <c r="R641" s="59">
        <v>0</v>
      </c>
      <c r="S641" s="35">
        <f t="shared" si="303"/>
        <v>28</v>
      </c>
      <c r="T641" s="59"/>
      <c r="U641" s="59">
        <v>14</v>
      </c>
      <c r="V641" s="59">
        <v>12</v>
      </c>
      <c r="W641" s="59">
        <v>0</v>
      </c>
      <c r="X641" s="62">
        <v>1</v>
      </c>
      <c r="Y641" s="10"/>
      <c r="Z641" s="61">
        <v>1158656</v>
      </c>
      <c r="AA641" s="101"/>
      <c r="AB641" s="101"/>
      <c r="AC641" s="61">
        <v>684978</v>
      </c>
      <c r="AD641" s="59"/>
      <c r="AE641" s="35">
        <f t="shared" si="300"/>
        <v>684978</v>
      </c>
      <c r="AF641" s="10"/>
      <c r="AG641" s="61">
        <v>53</v>
      </c>
      <c r="AH641" s="59">
        <v>24</v>
      </c>
      <c r="AI641" s="59">
        <v>86</v>
      </c>
      <c r="AJ641" s="62"/>
      <c r="AK641" s="10"/>
      <c r="AL641" s="8"/>
      <c r="AM641" s="10"/>
      <c r="AN641" s="35"/>
      <c r="AO641" s="279"/>
      <c r="AP641" s="279"/>
      <c r="AQ641" s="281"/>
      <c r="AR641" s="59">
        <v>137</v>
      </c>
      <c r="AS641" s="59"/>
      <c r="AT641" s="59"/>
      <c r="AU641" s="59"/>
      <c r="AV641" s="62"/>
      <c r="AW641" s="10"/>
      <c r="AX641" s="326">
        <v>39857</v>
      </c>
      <c r="AY641" s="5">
        <v>-2</v>
      </c>
      <c r="AZ641" s="10"/>
      <c r="BA641" s="61"/>
      <c r="BB641" s="59"/>
      <c r="BC641" s="59"/>
      <c r="BD641" s="59"/>
      <c r="BE641" s="59"/>
      <c r="BF641" s="59"/>
      <c r="BG641" s="59"/>
      <c r="BH641" s="351"/>
      <c r="BI641" s="59"/>
      <c r="BJ641" s="342"/>
      <c r="BK641" s="342"/>
      <c r="BL641" s="320"/>
      <c r="BM641" s="62"/>
      <c r="BN641" s="10"/>
      <c r="BO641" s="8"/>
      <c r="BP641" s="62"/>
      <c r="BQ641" s="10"/>
      <c r="BR641" s="29">
        <v>2009</v>
      </c>
      <c r="BS641" s="64">
        <v>2009</v>
      </c>
      <c r="BT641" s="14">
        <v>4</v>
      </c>
      <c r="BU641" s="10"/>
      <c r="BV641" s="8">
        <v>3</v>
      </c>
      <c r="BW641" s="59">
        <v>1</v>
      </c>
      <c r="BX641" s="59">
        <v>1</v>
      </c>
      <c r="BY641" s="59">
        <v>0</v>
      </c>
      <c r="BZ641" s="59">
        <v>0</v>
      </c>
      <c r="CA641" s="59">
        <v>1</v>
      </c>
      <c r="CB641" s="59">
        <v>0</v>
      </c>
      <c r="CC641" s="221"/>
      <c r="CD641" s="59">
        <v>0</v>
      </c>
      <c r="CE641" s="59">
        <v>0</v>
      </c>
      <c r="CF641" s="317">
        <v>0</v>
      </c>
      <c r="CG641" s="59">
        <v>0</v>
      </c>
      <c r="CH641" s="59">
        <v>0</v>
      </c>
      <c r="CI641" s="59">
        <v>1</v>
      </c>
      <c r="CJ641" s="59">
        <v>3</v>
      </c>
      <c r="CK641" s="59"/>
      <c r="CL641" s="59">
        <v>0</v>
      </c>
      <c r="CM641" s="59">
        <v>0</v>
      </c>
      <c r="CN641" s="59">
        <v>0</v>
      </c>
      <c r="CO641" s="59">
        <v>5</v>
      </c>
      <c r="CP641" s="317"/>
      <c r="CQ641" s="59">
        <v>0</v>
      </c>
      <c r="CR641" s="59"/>
      <c r="CS641" s="59">
        <v>0</v>
      </c>
      <c r="CT641" s="59">
        <v>1</v>
      </c>
      <c r="CU641" s="59">
        <v>0</v>
      </c>
      <c r="CV641" s="59">
        <v>3</v>
      </c>
      <c r="CW641" s="59">
        <v>0</v>
      </c>
      <c r="CX641" s="59"/>
      <c r="CY641" s="59">
        <v>0</v>
      </c>
      <c r="CZ641" s="59">
        <v>0</v>
      </c>
      <c r="DA641" s="59">
        <v>0</v>
      </c>
      <c r="DB641" s="59">
        <v>6</v>
      </c>
      <c r="DC641" s="59">
        <v>0</v>
      </c>
      <c r="DD641" s="59">
        <v>0</v>
      </c>
      <c r="DE641" s="59">
        <v>0</v>
      </c>
      <c r="DF641" s="59">
        <v>0</v>
      </c>
      <c r="DG641" s="59">
        <v>0</v>
      </c>
      <c r="DH641" s="59">
        <v>0</v>
      </c>
      <c r="DI641" s="59">
        <v>0</v>
      </c>
      <c r="DJ641" s="59">
        <v>0</v>
      </c>
      <c r="DK641" s="59">
        <v>0</v>
      </c>
      <c r="DL641" s="59">
        <v>0</v>
      </c>
      <c r="DM641" s="59">
        <v>3</v>
      </c>
      <c r="DN641" s="59">
        <v>0</v>
      </c>
      <c r="DO641" s="59">
        <v>0</v>
      </c>
      <c r="DP641" s="59">
        <v>0</v>
      </c>
      <c r="DQ641" s="59">
        <v>0</v>
      </c>
      <c r="DR641" s="59"/>
      <c r="DS641" s="59">
        <v>0</v>
      </c>
      <c r="DT641" s="59">
        <v>0</v>
      </c>
      <c r="DU641" s="59">
        <v>0</v>
      </c>
      <c r="DV641" s="38">
        <f t="shared" si="302"/>
        <v>28</v>
      </c>
      <c r="DW641" s="14" t="str">
        <f t="shared" si="301"/>
        <v/>
      </c>
      <c r="DY641">
        <f t="shared" si="304"/>
        <v>28</v>
      </c>
      <c r="DZ641" t="str">
        <f t="shared" si="305"/>
        <v/>
      </c>
    </row>
    <row r="642" spans="1:130" customFormat="1">
      <c r="A642" s="210">
        <v>39873</v>
      </c>
      <c r="B642" s="211"/>
      <c r="C642" s="61">
        <v>0</v>
      </c>
      <c r="D642" s="59">
        <v>11</v>
      </c>
      <c r="E642" s="59">
        <v>0</v>
      </c>
      <c r="F642" s="59">
        <v>0</v>
      </c>
      <c r="G642" s="59">
        <v>1</v>
      </c>
      <c r="H642" s="59">
        <v>0</v>
      </c>
      <c r="I642" s="59">
        <v>0</v>
      </c>
      <c r="J642" s="59">
        <v>15</v>
      </c>
      <c r="K642" s="59">
        <v>0</v>
      </c>
      <c r="L642" s="59">
        <v>0</v>
      </c>
      <c r="M642" s="59">
        <v>0</v>
      </c>
      <c r="N642" s="59">
        <v>0</v>
      </c>
      <c r="O642" s="59">
        <v>7</v>
      </c>
      <c r="P642" s="59">
        <v>4</v>
      </c>
      <c r="Q642" s="59">
        <v>0</v>
      </c>
      <c r="R642" s="59">
        <v>0</v>
      </c>
      <c r="S642" s="35">
        <f t="shared" si="303"/>
        <v>38</v>
      </c>
      <c r="T642" s="59"/>
      <c r="U642" s="59">
        <v>5</v>
      </c>
      <c r="V642" s="59">
        <v>5</v>
      </c>
      <c r="W642" s="59">
        <v>0</v>
      </c>
      <c r="X642" s="62">
        <v>0</v>
      </c>
      <c r="Y642" s="10"/>
      <c r="Z642" s="61">
        <v>1079808</v>
      </c>
      <c r="AA642" s="101"/>
      <c r="AB642" s="101"/>
      <c r="AC642" s="61">
        <v>187633</v>
      </c>
      <c r="AD642" s="59"/>
      <c r="AE642" s="35">
        <f t="shared" si="300"/>
        <v>187633</v>
      </c>
      <c r="AF642" s="10"/>
      <c r="AG642" s="61">
        <v>30</v>
      </c>
      <c r="AH642" s="59">
        <v>29</v>
      </c>
      <c r="AI642" s="59">
        <v>66</v>
      </c>
      <c r="AJ642" s="62"/>
      <c r="AK642" s="10"/>
      <c r="AL642" s="8"/>
      <c r="AM642" s="10"/>
      <c r="AN642" s="35"/>
      <c r="AO642" s="279"/>
      <c r="AP642" s="279"/>
      <c r="AQ642" s="281"/>
      <c r="AR642" s="59">
        <v>137</v>
      </c>
      <c r="AS642" s="59"/>
      <c r="AT642" s="59"/>
      <c r="AU642" s="59"/>
      <c r="AV642" s="62"/>
      <c r="AW642" s="10"/>
      <c r="AX642" s="326">
        <v>39870</v>
      </c>
      <c r="AY642" s="5">
        <v>-3</v>
      </c>
      <c r="AZ642" s="10"/>
      <c r="BA642" s="61">
        <v>1933</v>
      </c>
      <c r="BB642" s="59">
        <v>58828607</v>
      </c>
      <c r="BC642" s="59"/>
      <c r="BD642" s="59"/>
      <c r="BE642" s="59">
        <v>79</v>
      </c>
      <c r="BF642" s="59">
        <v>3</v>
      </c>
      <c r="BG642" s="59">
        <v>0</v>
      </c>
      <c r="BH642" s="351"/>
      <c r="BI642" s="59">
        <v>3281297</v>
      </c>
      <c r="BJ642" s="342">
        <v>39882</v>
      </c>
      <c r="BK642" s="342">
        <v>39918</v>
      </c>
      <c r="BL642" s="320">
        <f>BK642-BJ642</f>
        <v>36</v>
      </c>
      <c r="BM642" s="62"/>
      <c r="BN642" s="10"/>
      <c r="BO642" s="8"/>
      <c r="BP642" s="62">
        <v>163</v>
      </c>
      <c r="BQ642" s="10"/>
      <c r="BR642" s="29">
        <v>2009</v>
      </c>
      <c r="BS642" s="64">
        <v>2009</v>
      </c>
      <c r="BT642" s="14">
        <v>5</v>
      </c>
      <c r="BU642" s="10"/>
      <c r="BV642" s="8">
        <v>7</v>
      </c>
      <c r="BW642" s="59">
        <v>0</v>
      </c>
      <c r="BX642" s="59">
        <v>0</v>
      </c>
      <c r="BY642" s="59">
        <v>0</v>
      </c>
      <c r="BZ642" s="59">
        <v>0</v>
      </c>
      <c r="CA642" s="59">
        <v>0</v>
      </c>
      <c r="CB642" s="59">
        <v>0</v>
      </c>
      <c r="CC642" s="221"/>
      <c r="CD642" s="59">
        <v>7</v>
      </c>
      <c r="CE642" s="59">
        <v>0</v>
      </c>
      <c r="CF642" s="317">
        <v>0</v>
      </c>
      <c r="CG642" s="59">
        <v>0</v>
      </c>
      <c r="CH642" s="59">
        <v>1</v>
      </c>
      <c r="CI642" s="59">
        <v>6</v>
      </c>
      <c r="CJ642" s="59">
        <v>8</v>
      </c>
      <c r="CK642" s="59"/>
      <c r="CL642" s="59">
        <v>0</v>
      </c>
      <c r="CM642" s="59">
        <v>0</v>
      </c>
      <c r="CN642" s="59">
        <v>0</v>
      </c>
      <c r="CO642" s="59">
        <v>5</v>
      </c>
      <c r="CP642" s="317"/>
      <c r="CQ642" s="59">
        <v>0</v>
      </c>
      <c r="CR642" s="59"/>
      <c r="CS642" s="59">
        <v>1</v>
      </c>
      <c r="CT642" s="59">
        <v>0</v>
      </c>
      <c r="CU642" s="59">
        <v>0</v>
      </c>
      <c r="CV642" s="59">
        <v>0</v>
      </c>
      <c r="CW642" s="59">
        <v>0</v>
      </c>
      <c r="CX642" s="59"/>
      <c r="CY642" s="59">
        <v>0</v>
      </c>
      <c r="CZ642" s="59">
        <v>0</v>
      </c>
      <c r="DA642" s="59">
        <v>1</v>
      </c>
      <c r="DB642" s="59">
        <v>2</v>
      </c>
      <c r="DC642" s="59">
        <v>0</v>
      </c>
      <c r="DD642" s="59">
        <v>0</v>
      </c>
      <c r="DE642" s="59">
        <v>0</v>
      </c>
      <c r="DF642" s="59">
        <v>0</v>
      </c>
      <c r="DG642" s="59">
        <v>0</v>
      </c>
      <c r="DH642" s="59">
        <v>0</v>
      </c>
      <c r="DI642" s="59">
        <v>0</v>
      </c>
      <c r="DJ642" s="59">
        <v>0</v>
      </c>
      <c r="DK642" s="59">
        <v>0</v>
      </c>
      <c r="DL642" s="59">
        <v>0</v>
      </c>
      <c r="DM642" s="59">
        <v>0</v>
      </c>
      <c r="DN642" s="59">
        <v>0</v>
      </c>
      <c r="DO642" s="59">
        <v>0</v>
      </c>
      <c r="DP642" s="59">
        <v>0</v>
      </c>
      <c r="DQ642" s="59">
        <v>0</v>
      </c>
      <c r="DR642" s="59"/>
      <c r="DS642" s="59">
        <v>0</v>
      </c>
      <c r="DT642" s="59">
        <v>0</v>
      </c>
      <c r="DU642" s="59">
        <v>0</v>
      </c>
      <c r="DV642" s="38">
        <f t="shared" si="302"/>
        <v>38</v>
      </c>
      <c r="DW642" s="14" t="str">
        <f t="shared" si="301"/>
        <v/>
      </c>
      <c r="DY642">
        <f t="shared" si="304"/>
        <v>38</v>
      </c>
      <c r="DZ642" t="str">
        <f t="shared" si="305"/>
        <v/>
      </c>
    </row>
    <row r="643" spans="1:130" customFormat="1">
      <c r="A643" s="210">
        <v>39887</v>
      </c>
      <c r="B643" s="211"/>
      <c r="C643" s="61">
        <v>5</v>
      </c>
      <c r="D643" s="59">
        <v>22</v>
      </c>
      <c r="E643" s="59">
        <v>0</v>
      </c>
      <c r="F643" s="59">
        <v>0</v>
      </c>
      <c r="G643" s="59">
        <v>1</v>
      </c>
      <c r="H643" s="59">
        <v>2</v>
      </c>
      <c r="I643" s="59">
        <v>0</v>
      </c>
      <c r="J643" s="59">
        <v>8</v>
      </c>
      <c r="K643" s="59">
        <v>1</v>
      </c>
      <c r="L643" s="59">
        <v>0</v>
      </c>
      <c r="M643" s="59">
        <v>0</v>
      </c>
      <c r="N643" s="59">
        <v>0</v>
      </c>
      <c r="O643" s="59">
        <v>4</v>
      </c>
      <c r="P643" s="59">
        <v>2</v>
      </c>
      <c r="Q643" s="59">
        <v>0</v>
      </c>
      <c r="R643" s="59">
        <v>0</v>
      </c>
      <c r="S643" s="35">
        <f t="shared" si="303"/>
        <v>45</v>
      </c>
      <c r="T643" s="59"/>
      <c r="U643" s="59">
        <v>12</v>
      </c>
      <c r="V643" s="59">
        <v>11</v>
      </c>
      <c r="W643" s="59">
        <v>0</v>
      </c>
      <c r="X643" s="62">
        <v>1</v>
      </c>
      <c r="Y643" s="10"/>
      <c r="Z643" s="61">
        <v>1768960</v>
      </c>
      <c r="AA643" s="101"/>
      <c r="AB643" s="101"/>
      <c r="AC643" s="61">
        <v>605327</v>
      </c>
      <c r="AD643" s="59"/>
      <c r="AE643" s="35">
        <f t="shared" si="300"/>
        <v>605327</v>
      </c>
      <c r="AF643" s="10"/>
      <c r="AG643" s="61">
        <v>91</v>
      </c>
      <c r="AH643" s="59">
        <v>33</v>
      </c>
      <c r="AI643" s="59">
        <v>138</v>
      </c>
      <c r="AJ643" s="62"/>
      <c r="AK643" s="10"/>
      <c r="AL643" s="8"/>
      <c r="AM643" s="10"/>
      <c r="AN643" s="35"/>
      <c r="AO643" s="279"/>
      <c r="AP643" s="279"/>
      <c r="AQ643" s="281"/>
      <c r="AR643" s="59">
        <v>136</v>
      </c>
      <c r="AS643" s="59"/>
      <c r="AT643" s="59"/>
      <c r="AU643" s="59"/>
      <c r="AV643" s="62"/>
      <c r="AW643" s="10"/>
      <c r="AX643" s="326">
        <v>39885</v>
      </c>
      <c r="AY643" s="5">
        <v>-2</v>
      </c>
      <c r="AZ643" s="10"/>
      <c r="BA643" s="61"/>
      <c r="BB643" s="59"/>
      <c r="BC643" s="59"/>
      <c r="BD643" s="59"/>
      <c r="BE643" s="59"/>
      <c r="BF643" s="59"/>
      <c r="BG643" s="59"/>
      <c r="BH643" s="351"/>
      <c r="BI643" s="59"/>
      <c r="BJ643" s="342"/>
      <c r="BK643" s="342"/>
      <c r="BL643" s="320"/>
      <c r="BM643" s="62"/>
      <c r="BN643" s="10"/>
      <c r="BO643" s="8"/>
      <c r="BP643" s="62"/>
      <c r="BQ643" s="10"/>
      <c r="BR643" s="29">
        <v>2009</v>
      </c>
      <c r="BS643" s="64">
        <v>2009</v>
      </c>
      <c r="BT643" s="14">
        <v>6</v>
      </c>
      <c r="BU643" s="10"/>
      <c r="BV643" s="8">
        <v>1</v>
      </c>
      <c r="BW643" s="59">
        <v>2</v>
      </c>
      <c r="BX643" s="59">
        <v>1</v>
      </c>
      <c r="BY643" s="59">
        <v>0</v>
      </c>
      <c r="BZ643" s="59">
        <v>0</v>
      </c>
      <c r="CA643" s="59">
        <v>0</v>
      </c>
      <c r="CB643" s="59">
        <v>0</v>
      </c>
      <c r="CC643" s="221"/>
      <c r="CD643" s="59">
        <v>7</v>
      </c>
      <c r="CE643" s="59">
        <v>0</v>
      </c>
      <c r="CF643" s="317">
        <v>0</v>
      </c>
      <c r="CG643" s="59">
        <v>0</v>
      </c>
      <c r="CH643" s="59">
        <v>2</v>
      </c>
      <c r="CI643" s="59">
        <v>4</v>
      </c>
      <c r="CJ643" s="59">
        <v>5</v>
      </c>
      <c r="CK643" s="59"/>
      <c r="CL643" s="59">
        <v>0</v>
      </c>
      <c r="CM643" s="59">
        <v>0</v>
      </c>
      <c r="CN643" s="59">
        <v>0</v>
      </c>
      <c r="CO643" s="59">
        <v>3</v>
      </c>
      <c r="CP643" s="317"/>
      <c r="CQ643" s="59">
        <v>0</v>
      </c>
      <c r="CR643" s="59"/>
      <c r="CS643" s="59">
        <v>4</v>
      </c>
      <c r="CT643" s="59">
        <v>7</v>
      </c>
      <c r="CU643" s="59">
        <v>0</v>
      </c>
      <c r="CV643" s="59">
        <v>3</v>
      </c>
      <c r="CW643" s="59">
        <v>0</v>
      </c>
      <c r="CX643" s="59">
        <v>2</v>
      </c>
      <c r="CY643" s="59">
        <v>0</v>
      </c>
      <c r="CZ643" s="59">
        <v>0</v>
      </c>
      <c r="DA643" s="59">
        <v>0</v>
      </c>
      <c r="DB643" s="59">
        <v>1</v>
      </c>
      <c r="DC643" s="59">
        <v>0</v>
      </c>
      <c r="DD643" s="59">
        <v>0</v>
      </c>
      <c r="DE643" s="59">
        <v>0</v>
      </c>
      <c r="DF643" s="59">
        <v>0</v>
      </c>
      <c r="DG643" s="59">
        <v>1</v>
      </c>
      <c r="DH643" s="59">
        <v>0</v>
      </c>
      <c r="DI643" s="59">
        <v>0</v>
      </c>
      <c r="DJ643" s="59">
        <v>1</v>
      </c>
      <c r="DK643" s="59">
        <v>0</v>
      </c>
      <c r="DL643" s="59">
        <v>0</v>
      </c>
      <c r="DM643" s="59">
        <v>1</v>
      </c>
      <c r="DN643" s="59">
        <v>0</v>
      </c>
      <c r="DO643" s="59">
        <v>0</v>
      </c>
      <c r="DP643" s="59">
        <v>0</v>
      </c>
      <c r="DQ643" s="59">
        <v>0</v>
      </c>
      <c r="DR643" s="59"/>
      <c r="DS643" s="59">
        <v>0</v>
      </c>
      <c r="DT643" s="59">
        <v>0</v>
      </c>
      <c r="DU643" s="59">
        <v>0</v>
      </c>
      <c r="DV643" s="38">
        <f t="shared" si="302"/>
        <v>45</v>
      </c>
      <c r="DW643" s="14" t="str">
        <f t="shared" si="301"/>
        <v/>
      </c>
      <c r="DY643">
        <f t="shared" si="304"/>
        <v>45</v>
      </c>
      <c r="DZ643" t="str">
        <f t="shared" si="305"/>
        <v/>
      </c>
    </row>
    <row r="644" spans="1:130" customFormat="1">
      <c r="A644" s="210">
        <v>39904</v>
      </c>
      <c r="B644" s="211"/>
      <c r="C644" s="61">
        <v>0</v>
      </c>
      <c r="D644" s="59">
        <v>14</v>
      </c>
      <c r="E644" s="59">
        <v>0</v>
      </c>
      <c r="F644" s="59">
        <v>1</v>
      </c>
      <c r="G644" s="59">
        <v>0</v>
      </c>
      <c r="H644" s="59">
        <v>0</v>
      </c>
      <c r="I644" s="59">
        <v>0</v>
      </c>
      <c r="J644" s="59">
        <v>5</v>
      </c>
      <c r="K644" s="59">
        <v>0</v>
      </c>
      <c r="L644" s="59">
        <v>0</v>
      </c>
      <c r="M644" s="59">
        <v>0</v>
      </c>
      <c r="N644" s="59">
        <v>0</v>
      </c>
      <c r="O644" s="59">
        <v>2</v>
      </c>
      <c r="P644" s="59">
        <v>2</v>
      </c>
      <c r="Q644" s="59">
        <v>0</v>
      </c>
      <c r="R644" s="59">
        <v>0</v>
      </c>
      <c r="S644" s="35">
        <f t="shared" si="303"/>
        <v>24</v>
      </c>
      <c r="T644" s="59"/>
      <c r="U644" s="59">
        <v>11</v>
      </c>
      <c r="V644" s="59">
        <v>8</v>
      </c>
      <c r="W644" s="59">
        <v>0</v>
      </c>
      <c r="X644" s="62">
        <v>0</v>
      </c>
      <c r="Y644" s="10"/>
      <c r="Z644" s="61">
        <v>1341416</v>
      </c>
      <c r="AA644" s="101"/>
      <c r="AB644" s="101"/>
      <c r="AC644" s="61">
        <v>318861</v>
      </c>
      <c r="AD644" s="59"/>
      <c r="AE644" s="35">
        <f t="shared" si="300"/>
        <v>318861</v>
      </c>
      <c r="AF644" s="10"/>
      <c r="AG644" s="61">
        <v>36</v>
      </c>
      <c r="AH644" s="59">
        <v>36</v>
      </c>
      <c r="AI644" s="59">
        <v>80</v>
      </c>
      <c r="AJ644" s="62"/>
      <c r="AK644" s="10"/>
      <c r="AL644" s="8">
        <v>0</v>
      </c>
      <c r="AM644" s="59">
        <v>41</v>
      </c>
      <c r="AN644" s="35">
        <f>SUM(AL644:AM644)</f>
        <v>41</v>
      </c>
      <c r="AO644" s="279"/>
      <c r="AP644" s="279"/>
      <c r="AQ644" s="281"/>
      <c r="AR644" s="59">
        <v>136</v>
      </c>
      <c r="AS644" s="59">
        <v>86</v>
      </c>
      <c r="AT644" s="59">
        <v>133</v>
      </c>
      <c r="AU644" s="59">
        <v>17</v>
      </c>
      <c r="AV644" s="62">
        <v>284</v>
      </c>
      <c r="AW644" s="10"/>
      <c r="AX644" s="326">
        <v>39902</v>
      </c>
      <c r="AY644" s="5">
        <v>-2</v>
      </c>
      <c r="AZ644" s="10"/>
      <c r="BA644" s="61">
        <v>1936</v>
      </c>
      <c r="BB644" s="59">
        <v>59046808</v>
      </c>
      <c r="BC644" s="59"/>
      <c r="BD644" s="59"/>
      <c r="BE644" s="59">
        <v>44</v>
      </c>
      <c r="BF644" s="59">
        <v>3</v>
      </c>
      <c r="BG644" s="59">
        <v>0</v>
      </c>
      <c r="BH644" s="351"/>
      <c r="BI644" s="59">
        <v>2784106</v>
      </c>
      <c r="BJ644" s="342">
        <v>39913</v>
      </c>
      <c r="BK644" s="344">
        <v>39938</v>
      </c>
      <c r="BL644" s="320">
        <f>BK644-BJ644</f>
        <v>25</v>
      </c>
      <c r="BM644" s="62"/>
      <c r="BN644" s="10"/>
      <c r="BO644" s="8"/>
      <c r="BP644" s="62">
        <v>163</v>
      </c>
      <c r="BQ644" s="10"/>
      <c r="BR644" s="29">
        <v>2009</v>
      </c>
      <c r="BS644" s="64">
        <v>2009</v>
      </c>
      <c r="BT644" s="14">
        <v>7</v>
      </c>
      <c r="BU644" s="10"/>
      <c r="BV644" s="8">
        <v>1</v>
      </c>
      <c r="BW644" s="59">
        <v>0</v>
      </c>
      <c r="BX644" s="59">
        <v>0</v>
      </c>
      <c r="BY644" s="59">
        <v>0</v>
      </c>
      <c r="BZ644" s="59">
        <v>0</v>
      </c>
      <c r="CA644" s="59">
        <v>0</v>
      </c>
      <c r="CB644" s="59">
        <v>1</v>
      </c>
      <c r="CC644" s="221"/>
      <c r="CD644" s="59">
        <v>2</v>
      </c>
      <c r="CE644" s="59">
        <v>0</v>
      </c>
      <c r="CF644" s="317">
        <v>0</v>
      </c>
      <c r="CG644" s="59">
        <v>0</v>
      </c>
      <c r="CH644" s="59">
        <v>0</v>
      </c>
      <c r="CI644" s="59">
        <v>5</v>
      </c>
      <c r="CJ644" s="59">
        <v>4</v>
      </c>
      <c r="CK644" s="59"/>
      <c r="CL644" s="59">
        <v>0</v>
      </c>
      <c r="CM644" s="59">
        <v>0</v>
      </c>
      <c r="CN644" s="59">
        <v>0</v>
      </c>
      <c r="CO644" s="59">
        <v>2</v>
      </c>
      <c r="CP644" s="317"/>
      <c r="CQ644" s="59">
        <v>0</v>
      </c>
      <c r="CR644" s="59"/>
      <c r="CS644" s="59">
        <v>0</v>
      </c>
      <c r="CT644" s="59">
        <v>1</v>
      </c>
      <c r="CU644" s="59">
        <v>0</v>
      </c>
      <c r="CV644" s="59">
        <v>3</v>
      </c>
      <c r="CW644" s="59">
        <v>0</v>
      </c>
      <c r="CX644" s="59">
        <v>0</v>
      </c>
      <c r="CY644" s="59">
        <v>2</v>
      </c>
      <c r="CZ644" s="59">
        <v>0</v>
      </c>
      <c r="DA644" s="59">
        <v>0</v>
      </c>
      <c r="DB644" s="59">
        <v>0</v>
      </c>
      <c r="DC644" s="59">
        <v>0</v>
      </c>
      <c r="DD644" s="59">
        <v>0</v>
      </c>
      <c r="DE644" s="59">
        <v>0</v>
      </c>
      <c r="DF644" s="59">
        <v>0</v>
      </c>
      <c r="DG644" s="59">
        <v>1</v>
      </c>
      <c r="DH644" s="59">
        <v>1</v>
      </c>
      <c r="DI644" s="59">
        <v>1</v>
      </c>
      <c r="DJ644" s="59">
        <v>0</v>
      </c>
      <c r="DK644" s="59">
        <v>0</v>
      </c>
      <c r="DL644" s="59">
        <v>0</v>
      </c>
      <c r="DM644" s="59">
        <v>0</v>
      </c>
      <c r="DN644" s="59">
        <v>0</v>
      </c>
      <c r="DO644" s="59">
        <v>0</v>
      </c>
      <c r="DP644" s="59">
        <v>0</v>
      </c>
      <c r="DQ644" s="59">
        <v>0</v>
      </c>
      <c r="DR644" s="59"/>
      <c r="DS644" s="59">
        <v>0</v>
      </c>
      <c r="DT644" s="59">
        <v>0</v>
      </c>
      <c r="DU644" s="59">
        <v>0</v>
      </c>
      <c r="DV644" s="38">
        <f t="shared" si="302"/>
        <v>24</v>
      </c>
      <c r="DW644" s="14" t="str">
        <f t="shared" si="301"/>
        <v/>
      </c>
      <c r="DY644">
        <f t="shared" si="304"/>
        <v>24</v>
      </c>
      <c r="DZ644" t="str">
        <f t="shared" si="305"/>
        <v/>
      </c>
    </row>
    <row r="645" spans="1:130" customFormat="1">
      <c r="A645" s="210">
        <v>39918</v>
      </c>
      <c r="B645" s="211"/>
      <c r="C645" s="61">
        <v>0</v>
      </c>
      <c r="D645" s="59">
        <v>19</v>
      </c>
      <c r="E645" s="59">
        <v>0</v>
      </c>
      <c r="F645" s="59">
        <v>1</v>
      </c>
      <c r="G645" s="59">
        <v>0</v>
      </c>
      <c r="H645" s="59">
        <v>0</v>
      </c>
      <c r="I645" s="59">
        <v>0</v>
      </c>
      <c r="J645" s="59">
        <v>6</v>
      </c>
      <c r="K645" s="59">
        <v>0</v>
      </c>
      <c r="L645" s="59">
        <v>0</v>
      </c>
      <c r="M645" s="59">
        <v>0</v>
      </c>
      <c r="N645" s="59">
        <v>0</v>
      </c>
      <c r="O645" s="59">
        <v>13</v>
      </c>
      <c r="P645" s="59">
        <v>1</v>
      </c>
      <c r="Q645" s="59">
        <v>0</v>
      </c>
      <c r="R645" s="59">
        <v>0</v>
      </c>
      <c r="S645" s="35">
        <f t="shared" si="303"/>
        <v>40</v>
      </c>
      <c r="T645" s="59"/>
      <c r="U645" s="59">
        <v>13</v>
      </c>
      <c r="V645" s="59">
        <v>10</v>
      </c>
      <c r="W645" s="59">
        <v>0</v>
      </c>
      <c r="X645" s="62">
        <v>0</v>
      </c>
      <c r="Y645" s="10"/>
      <c r="Z645" s="61">
        <v>1701888</v>
      </c>
      <c r="AA645" s="101"/>
      <c r="AB645" s="101"/>
      <c r="AC645" s="61">
        <v>576601</v>
      </c>
      <c r="AD645" s="59"/>
      <c r="AE645" s="35">
        <f t="shared" si="300"/>
        <v>576601</v>
      </c>
      <c r="AF645" s="10"/>
      <c r="AG645" s="61">
        <v>60</v>
      </c>
      <c r="AH645" s="59">
        <v>39</v>
      </c>
      <c r="AI645" s="59">
        <v>112</v>
      </c>
      <c r="AJ645" s="62"/>
      <c r="AK645" s="10"/>
      <c r="AL645" s="8"/>
      <c r="AM645" s="10"/>
      <c r="AN645" s="35"/>
      <c r="AO645" s="279"/>
      <c r="AP645" s="279"/>
      <c r="AQ645" s="281"/>
      <c r="AR645" s="59">
        <v>136</v>
      </c>
      <c r="AS645" s="59">
        <v>87</v>
      </c>
      <c r="AT645" s="59">
        <v>134</v>
      </c>
      <c r="AU645" s="59">
        <v>17</v>
      </c>
      <c r="AV645" s="62">
        <v>286</v>
      </c>
      <c r="AW645" s="10"/>
      <c r="AX645" s="326">
        <v>39916</v>
      </c>
      <c r="AY645" s="5">
        <v>-2</v>
      </c>
      <c r="AZ645" s="10"/>
      <c r="BA645" s="61"/>
      <c r="BB645" s="59"/>
      <c r="BC645" s="59"/>
      <c r="BD645" s="59"/>
      <c r="BE645" s="59"/>
      <c r="BF645" s="59"/>
      <c r="BG645" s="59"/>
      <c r="BH645" s="351"/>
      <c r="BI645" s="59"/>
      <c r="BJ645" s="342"/>
      <c r="BK645" s="342"/>
      <c r="BL645" s="320"/>
      <c r="BM645" s="62"/>
      <c r="BN645" s="10"/>
      <c r="BO645" s="8"/>
      <c r="BP645" s="62"/>
      <c r="BQ645" s="10"/>
      <c r="BR645" s="29">
        <v>2009</v>
      </c>
      <c r="BS645" s="64">
        <v>2009</v>
      </c>
      <c r="BT645" s="14">
        <v>8</v>
      </c>
      <c r="BU645" s="10"/>
      <c r="BV645" s="8">
        <v>0</v>
      </c>
      <c r="BW645" s="59">
        <v>0</v>
      </c>
      <c r="BX645" s="59">
        <v>1</v>
      </c>
      <c r="BY645" s="59">
        <v>0</v>
      </c>
      <c r="BZ645" s="59">
        <v>0</v>
      </c>
      <c r="CA645" s="59">
        <v>0</v>
      </c>
      <c r="CB645" s="59">
        <v>0</v>
      </c>
      <c r="CC645" s="221"/>
      <c r="CD645" s="59">
        <v>8</v>
      </c>
      <c r="CE645" s="59">
        <v>0</v>
      </c>
      <c r="CF645" s="317">
        <v>0</v>
      </c>
      <c r="CG645" s="59">
        <v>0</v>
      </c>
      <c r="CH645" s="59">
        <v>0</v>
      </c>
      <c r="CI645" s="59">
        <v>0</v>
      </c>
      <c r="CJ645" s="59">
        <v>2</v>
      </c>
      <c r="CK645" s="59"/>
      <c r="CL645" s="59">
        <v>0</v>
      </c>
      <c r="CM645" s="59">
        <v>0</v>
      </c>
      <c r="CN645" s="59">
        <v>0</v>
      </c>
      <c r="CO645" s="59">
        <v>2</v>
      </c>
      <c r="CP645" s="317"/>
      <c r="CQ645" s="59">
        <v>0</v>
      </c>
      <c r="CR645" s="59"/>
      <c r="CS645" s="59">
        <v>0</v>
      </c>
      <c r="CT645" s="59">
        <v>7</v>
      </c>
      <c r="CU645" s="59">
        <v>0</v>
      </c>
      <c r="CV645" s="59">
        <v>4</v>
      </c>
      <c r="CW645" s="59">
        <v>0</v>
      </c>
      <c r="CX645" s="59">
        <v>0</v>
      </c>
      <c r="CY645" s="59">
        <v>3</v>
      </c>
      <c r="CZ645" s="59">
        <v>0</v>
      </c>
      <c r="DA645" s="59">
        <v>0</v>
      </c>
      <c r="DB645" s="59">
        <v>7</v>
      </c>
      <c r="DC645" s="59">
        <v>0</v>
      </c>
      <c r="DD645" s="59">
        <v>0</v>
      </c>
      <c r="DE645" s="59">
        <v>0</v>
      </c>
      <c r="DF645" s="59">
        <v>0</v>
      </c>
      <c r="DG645" s="59">
        <v>4</v>
      </c>
      <c r="DH645" s="59">
        <v>0</v>
      </c>
      <c r="DI645" s="59">
        <v>0</v>
      </c>
      <c r="DJ645" s="59">
        <v>0</v>
      </c>
      <c r="DK645" s="59">
        <v>0</v>
      </c>
      <c r="DL645" s="59">
        <v>0</v>
      </c>
      <c r="DM645" s="59">
        <v>0</v>
      </c>
      <c r="DN645" s="59">
        <v>0</v>
      </c>
      <c r="DO645" s="59">
        <v>2</v>
      </c>
      <c r="DP645" s="59">
        <v>0</v>
      </c>
      <c r="DQ645" s="59">
        <v>0</v>
      </c>
      <c r="DR645" s="59"/>
      <c r="DS645" s="59">
        <v>0</v>
      </c>
      <c r="DT645" s="59">
        <v>0</v>
      </c>
      <c r="DU645" s="59">
        <v>0</v>
      </c>
      <c r="DV645" s="38">
        <f t="shared" si="302"/>
        <v>40</v>
      </c>
      <c r="DW645" s="14" t="str">
        <f t="shared" si="301"/>
        <v/>
      </c>
      <c r="DY645">
        <f t="shared" si="304"/>
        <v>40</v>
      </c>
      <c r="DZ645" t="str">
        <f t="shared" si="305"/>
        <v/>
      </c>
    </row>
    <row r="646" spans="1:130" customFormat="1">
      <c r="A646" s="210">
        <v>39934</v>
      </c>
      <c r="B646" s="211"/>
      <c r="C646" s="61">
        <v>5</v>
      </c>
      <c r="D646" s="59">
        <v>11</v>
      </c>
      <c r="E646" s="59">
        <v>0</v>
      </c>
      <c r="F646" s="59">
        <v>1</v>
      </c>
      <c r="G646" s="59">
        <v>0</v>
      </c>
      <c r="H646" s="59">
        <v>1</v>
      </c>
      <c r="I646" s="59">
        <v>0</v>
      </c>
      <c r="J646" s="59">
        <v>16</v>
      </c>
      <c r="K646" s="59">
        <v>0</v>
      </c>
      <c r="L646" s="59">
        <v>0</v>
      </c>
      <c r="M646" s="59">
        <v>0</v>
      </c>
      <c r="N646" s="59">
        <v>0</v>
      </c>
      <c r="O646" s="59">
        <v>12</v>
      </c>
      <c r="P646" s="59">
        <v>0</v>
      </c>
      <c r="Q646" s="59">
        <v>1</v>
      </c>
      <c r="R646" s="59">
        <v>0</v>
      </c>
      <c r="S646" s="35">
        <f>SUM(C646:R646)</f>
        <v>47</v>
      </c>
      <c r="T646" s="59"/>
      <c r="U646" s="59">
        <v>19</v>
      </c>
      <c r="V646" s="59">
        <v>14</v>
      </c>
      <c r="W646" s="59">
        <v>0</v>
      </c>
      <c r="X646" s="62">
        <v>0</v>
      </c>
      <c r="Y646" s="10"/>
      <c r="Z646" s="61">
        <v>1741312</v>
      </c>
      <c r="AA646" s="101"/>
      <c r="AB646" s="101"/>
      <c r="AC646" s="61">
        <v>957533</v>
      </c>
      <c r="AD646" s="59"/>
      <c r="AE646" s="35">
        <f t="shared" si="300"/>
        <v>957533</v>
      </c>
      <c r="AF646" s="10"/>
      <c r="AG646" s="61">
        <v>49</v>
      </c>
      <c r="AH646" s="59">
        <v>44</v>
      </c>
      <c r="AI646" s="59">
        <v>110</v>
      </c>
      <c r="AJ646" s="62"/>
      <c r="AK646" s="10"/>
      <c r="AL646" s="8"/>
      <c r="AM646" s="10"/>
      <c r="AN646" s="35"/>
      <c r="AO646" s="279"/>
      <c r="AP646" s="279"/>
      <c r="AQ646" s="281"/>
      <c r="AR646" s="59">
        <v>136</v>
      </c>
      <c r="AS646" s="59">
        <v>89</v>
      </c>
      <c r="AT646" s="59">
        <v>135</v>
      </c>
      <c r="AU646" s="59">
        <v>17</v>
      </c>
      <c r="AV646" s="62">
        <v>289</v>
      </c>
      <c r="AW646" s="10"/>
      <c r="AX646" s="326">
        <v>39932</v>
      </c>
      <c r="AY646" s="5">
        <v>-2</v>
      </c>
      <c r="AZ646" s="10"/>
      <c r="BA646" s="61">
        <v>1940</v>
      </c>
      <c r="BB646" s="59">
        <v>59307088</v>
      </c>
      <c r="BC646" s="59"/>
      <c r="BD646" s="59"/>
      <c r="BE646" s="59">
        <v>56</v>
      </c>
      <c r="BF646" s="59">
        <v>4</v>
      </c>
      <c r="BG646" s="59">
        <v>0</v>
      </c>
      <c r="BH646" s="351"/>
      <c r="BI646" s="59">
        <v>3899909</v>
      </c>
      <c r="BJ646" s="342">
        <v>39943</v>
      </c>
      <c r="BK646" s="342">
        <v>39994</v>
      </c>
      <c r="BL646" s="320">
        <f>BK646-BJ646</f>
        <v>51</v>
      </c>
      <c r="BM646" s="62"/>
      <c r="BN646" s="10"/>
      <c r="BO646" s="8"/>
      <c r="BP646" s="5">
        <v>165</v>
      </c>
      <c r="BQ646" s="10"/>
      <c r="BR646" s="29">
        <v>2009</v>
      </c>
      <c r="BS646" s="64">
        <v>2009</v>
      </c>
      <c r="BT646" s="14">
        <v>9</v>
      </c>
      <c r="BU646" s="10"/>
      <c r="BV646" s="8">
        <v>0</v>
      </c>
      <c r="BW646" s="59">
        <v>3</v>
      </c>
      <c r="BX646" s="59">
        <v>0</v>
      </c>
      <c r="BY646" s="59">
        <v>0</v>
      </c>
      <c r="BZ646" s="59">
        <v>0</v>
      </c>
      <c r="CA646" s="59">
        <v>0</v>
      </c>
      <c r="CB646" s="59">
        <v>2</v>
      </c>
      <c r="CC646" s="221"/>
      <c r="CD646" s="59">
        <v>5</v>
      </c>
      <c r="CE646" s="59">
        <v>2</v>
      </c>
      <c r="CF646" s="317">
        <v>0</v>
      </c>
      <c r="CG646" s="59">
        <v>0</v>
      </c>
      <c r="CH646" s="59">
        <v>0</v>
      </c>
      <c r="CI646" s="59">
        <v>3</v>
      </c>
      <c r="CJ646" s="59">
        <v>0</v>
      </c>
      <c r="CK646" s="59"/>
      <c r="CL646" s="59">
        <v>0</v>
      </c>
      <c r="CM646" s="59">
        <v>0</v>
      </c>
      <c r="CN646" s="59">
        <v>0</v>
      </c>
      <c r="CO646" s="59">
        <v>1</v>
      </c>
      <c r="CP646" s="317"/>
      <c r="CQ646" s="59">
        <v>0</v>
      </c>
      <c r="CR646" s="59"/>
      <c r="CS646" s="59">
        <v>0</v>
      </c>
      <c r="CT646" s="59">
        <v>5</v>
      </c>
      <c r="CU646" s="59">
        <v>0</v>
      </c>
      <c r="CV646" s="59">
        <v>11</v>
      </c>
      <c r="CW646" s="59">
        <v>0</v>
      </c>
      <c r="CX646" s="59">
        <v>0</v>
      </c>
      <c r="CY646" s="59">
        <v>0</v>
      </c>
      <c r="CZ646" s="59">
        <v>4</v>
      </c>
      <c r="DA646" s="59">
        <v>0</v>
      </c>
      <c r="DB646" s="59">
        <v>0</v>
      </c>
      <c r="DC646" s="59">
        <v>0</v>
      </c>
      <c r="DD646" s="59">
        <v>0</v>
      </c>
      <c r="DE646" s="59">
        <v>0</v>
      </c>
      <c r="DF646" s="59">
        <v>0</v>
      </c>
      <c r="DG646" s="59">
        <v>7</v>
      </c>
      <c r="DH646" s="59">
        <v>0</v>
      </c>
      <c r="DI646" s="59">
        <v>0</v>
      </c>
      <c r="DJ646" s="59">
        <v>0</v>
      </c>
      <c r="DK646" s="59">
        <v>0</v>
      </c>
      <c r="DL646" s="59">
        <v>0</v>
      </c>
      <c r="DM646" s="59">
        <v>0</v>
      </c>
      <c r="DN646" s="59">
        <v>1</v>
      </c>
      <c r="DO646" s="59">
        <v>1</v>
      </c>
      <c r="DP646" s="59">
        <v>0</v>
      </c>
      <c r="DQ646" s="59">
        <v>0</v>
      </c>
      <c r="DR646" s="59"/>
      <c r="DS646" s="59">
        <v>2</v>
      </c>
      <c r="DT646" s="59">
        <v>0</v>
      </c>
      <c r="DU646" s="59">
        <v>0</v>
      </c>
      <c r="DV646" s="38">
        <f t="shared" si="302"/>
        <v>47</v>
      </c>
      <c r="DW646" s="14" t="str">
        <f t="shared" si="301"/>
        <v/>
      </c>
      <c r="DY646">
        <f t="shared" si="304"/>
        <v>47</v>
      </c>
      <c r="DZ646" t="str">
        <f t="shared" si="305"/>
        <v/>
      </c>
    </row>
    <row r="647" spans="1:130" customFormat="1">
      <c r="A647" s="210">
        <v>39948</v>
      </c>
      <c r="B647" s="211"/>
      <c r="C647" s="61">
        <v>3</v>
      </c>
      <c r="D647" s="59">
        <v>74</v>
      </c>
      <c r="E647" s="59">
        <v>4</v>
      </c>
      <c r="F647" s="59">
        <v>0</v>
      </c>
      <c r="G647" s="59">
        <v>0</v>
      </c>
      <c r="H647" s="59">
        <v>10</v>
      </c>
      <c r="I647" s="59">
        <v>0</v>
      </c>
      <c r="J647" s="59">
        <v>0</v>
      </c>
      <c r="K647" s="59">
        <v>0</v>
      </c>
      <c r="L647" s="59">
        <v>0</v>
      </c>
      <c r="M647" s="59">
        <v>0</v>
      </c>
      <c r="N647" s="59">
        <v>0</v>
      </c>
      <c r="O647" s="59">
        <v>14</v>
      </c>
      <c r="P647" s="59">
        <v>4</v>
      </c>
      <c r="Q647" s="59">
        <v>0</v>
      </c>
      <c r="R647" s="59">
        <v>0</v>
      </c>
      <c r="S647" s="35">
        <f>SUM(C647:R647)</f>
        <v>109</v>
      </c>
      <c r="T647" s="59"/>
      <c r="U647" s="59">
        <v>22</v>
      </c>
      <c r="V647" s="59">
        <v>19</v>
      </c>
      <c r="W647" s="59">
        <v>0</v>
      </c>
      <c r="X647" s="62">
        <v>0</v>
      </c>
      <c r="Y647" s="10"/>
      <c r="Z647" s="61">
        <v>2756608</v>
      </c>
      <c r="AA647" s="101"/>
      <c r="AB647" s="101"/>
      <c r="AC647" s="61">
        <v>1046277</v>
      </c>
      <c r="AD647" s="59"/>
      <c r="AE647" s="35">
        <f t="shared" si="300"/>
        <v>1046277</v>
      </c>
      <c r="AF647" s="10"/>
      <c r="AG647" s="61">
        <v>152</v>
      </c>
      <c r="AH647" s="59">
        <v>46</v>
      </c>
      <c r="AI647" s="59">
        <v>212</v>
      </c>
      <c r="AJ647" s="62"/>
      <c r="AK647" s="10"/>
      <c r="AL647" s="8"/>
      <c r="AM647" s="10"/>
      <c r="AN647" s="35"/>
      <c r="AO647" s="279"/>
      <c r="AP647" s="279"/>
      <c r="AQ647" s="281"/>
      <c r="AR647" s="59">
        <v>136</v>
      </c>
      <c r="AS647" s="59">
        <v>86</v>
      </c>
      <c r="AT647" s="59">
        <v>137</v>
      </c>
      <c r="AU647" s="59">
        <v>17</v>
      </c>
      <c r="AV647" s="62">
        <v>285</v>
      </c>
      <c r="AW647" s="10"/>
      <c r="AX647" s="326">
        <v>39946</v>
      </c>
      <c r="AY647" s="5">
        <v>-2</v>
      </c>
      <c r="AZ647" s="10"/>
      <c r="BA647" s="8"/>
      <c r="BB647" s="10"/>
      <c r="BC647" s="10"/>
      <c r="BD647" s="10"/>
      <c r="BE647" s="10"/>
      <c r="BF647" s="10"/>
      <c r="BG647" s="10"/>
      <c r="BH647" s="30"/>
      <c r="BI647" s="10"/>
      <c r="BJ647" s="338"/>
      <c r="BK647" s="338"/>
      <c r="BL647" s="320"/>
      <c r="BM647" s="5"/>
      <c r="BN647" s="10"/>
      <c r="BO647" s="8"/>
      <c r="BP647" s="5"/>
      <c r="BQ647" s="10"/>
      <c r="BR647" s="29">
        <v>2009</v>
      </c>
      <c r="BS647" s="64">
        <v>2009</v>
      </c>
      <c r="BT647" s="14">
        <v>10</v>
      </c>
      <c r="BU647" s="10"/>
      <c r="BV647" s="8">
        <v>2</v>
      </c>
      <c r="BW647" s="59">
        <v>3</v>
      </c>
      <c r="BX647" s="59">
        <v>50</v>
      </c>
      <c r="BY647" s="59">
        <v>0</v>
      </c>
      <c r="BZ647" s="59">
        <v>0</v>
      </c>
      <c r="CA647" s="59">
        <v>0</v>
      </c>
      <c r="CB647" s="59">
        <v>0</v>
      </c>
      <c r="CC647" s="221"/>
      <c r="CD647" s="59">
        <v>4</v>
      </c>
      <c r="CE647" s="59">
        <v>0</v>
      </c>
      <c r="CF647" s="317">
        <v>0</v>
      </c>
      <c r="CG647" s="59">
        <v>0</v>
      </c>
      <c r="CH647" s="59">
        <v>0</v>
      </c>
      <c r="CI647" s="59">
        <v>7</v>
      </c>
      <c r="CJ647" s="59">
        <v>0</v>
      </c>
      <c r="CK647" s="59"/>
      <c r="CL647" s="59">
        <v>0</v>
      </c>
      <c r="CM647" s="59">
        <v>0</v>
      </c>
      <c r="CN647" s="59">
        <v>0</v>
      </c>
      <c r="CO647" s="59">
        <v>17</v>
      </c>
      <c r="CP647" s="317"/>
      <c r="CQ647" s="59">
        <v>0</v>
      </c>
      <c r="CR647" s="59"/>
      <c r="CS647" s="59">
        <v>14</v>
      </c>
      <c r="CT647" s="59">
        <v>1</v>
      </c>
      <c r="CU647" s="59">
        <v>0</v>
      </c>
      <c r="CV647" s="59">
        <v>8</v>
      </c>
      <c r="CW647" s="59">
        <v>0</v>
      </c>
      <c r="CX647" s="59">
        <v>0</v>
      </c>
      <c r="CY647" s="59">
        <v>2</v>
      </c>
      <c r="CZ647" s="59">
        <v>0</v>
      </c>
      <c r="DA647" s="59">
        <v>0</v>
      </c>
      <c r="DB647" s="59">
        <v>0</v>
      </c>
      <c r="DC647" s="59">
        <v>0</v>
      </c>
      <c r="DD647" s="59">
        <v>0</v>
      </c>
      <c r="DE647" s="59">
        <v>0</v>
      </c>
      <c r="DF647" s="59">
        <v>0</v>
      </c>
      <c r="DG647" s="59">
        <v>1</v>
      </c>
      <c r="DH647" s="59">
        <v>0</v>
      </c>
      <c r="DI647" s="59">
        <v>0</v>
      </c>
      <c r="DJ647" s="59">
        <v>0</v>
      </c>
      <c r="DK647" s="59">
        <v>0</v>
      </c>
      <c r="DL647" s="59">
        <v>0</v>
      </c>
      <c r="DM647" s="59">
        <v>0</v>
      </c>
      <c r="DN647" s="59">
        <v>0</v>
      </c>
      <c r="DO647" s="59">
        <v>0</v>
      </c>
      <c r="DP647" s="59">
        <v>0</v>
      </c>
      <c r="DQ647" s="59">
        <v>0</v>
      </c>
      <c r="DR647" s="59"/>
      <c r="DS647" s="59">
        <v>0</v>
      </c>
      <c r="DT647" s="59">
        <v>0</v>
      </c>
      <c r="DU647" s="59">
        <v>0</v>
      </c>
      <c r="DV647" s="38">
        <f t="shared" si="302"/>
        <v>109</v>
      </c>
      <c r="DW647" s="14" t="str">
        <f t="shared" si="301"/>
        <v/>
      </c>
      <c r="DY647">
        <f t="shared" si="304"/>
        <v>109</v>
      </c>
      <c r="DZ647" t="str">
        <f t="shared" si="305"/>
        <v/>
      </c>
    </row>
    <row r="648" spans="1:130" customFormat="1">
      <c r="A648" s="210">
        <v>39965</v>
      </c>
      <c r="B648" s="211"/>
      <c r="C648" s="8">
        <v>1</v>
      </c>
      <c r="D648" s="59">
        <v>13</v>
      </c>
      <c r="E648" s="59">
        <v>1</v>
      </c>
      <c r="F648" s="59">
        <v>1</v>
      </c>
      <c r="G648" s="59">
        <v>0</v>
      </c>
      <c r="H648" s="59">
        <v>1</v>
      </c>
      <c r="I648" s="59">
        <v>0</v>
      </c>
      <c r="J648" s="59">
        <v>6</v>
      </c>
      <c r="K648" s="59">
        <v>0</v>
      </c>
      <c r="L648" s="59">
        <v>0</v>
      </c>
      <c r="M648" s="59">
        <v>3</v>
      </c>
      <c r="N648" s="59">
        <v>0</v>
      </c>
      <c r="O648" s="59">
        <v>1</v>
      </c>
      <c r="P648" s="59">
        <v>0</v>
      </c>
      <c r="Q648" s="59">
        <v>0</v>
      </c>
      <c r="R648" s="59">
        <v>0</v>
      </c>
      <c r="S648" s="35">
        <f>SUM(C648:R648)</f>
        <v>27</v>
      </c>
      <c r="T648" s="59"/>
      <c r="U648" s="59">
        <v>17</v>
      </c>
      <c r="V648" s="59">
        <v>12</v>
      </c>
      <c r="W648" s="59">
        <v>0</v>
      </c>
      <c r="X648" s="62">
        <v>0</v>
      </c>
      <c r="Y648" s="10"/>
      <c r="Z648" s="61">
        <v>1926144</v>
      </c>
      <c r="AA648" s="101"/>
      <c r="AB648" s="101"/>
      <c r="AC648" s="61">
        <v>323529</v>
      </c>
      <c r="AD648" s="59"/>
      <c r="AE648" s="35">
        <f t="shared" si="300"/>
        <v>323529</v>
      </c>
      <c r="AF648" s="10"/>
      <c r="AG648" s="8">
        <v>56</v>
      </c>
      <c r="AH648" s="59">
        <v>50</v>
      </c>
      <c r="AI648" s="59">
        <v>118</v>
      </c>
      <c r="AJ648" s="5"/>
      <c r="AK648" s="10"/>
      <c r="AL648" s="8"/>
      <c r="AM648" s="10"/>
      <c r="AN648" s="35"/>
      <c r="AO648" s="279"/>
      <c r="AP648" s="279"/>
      <c r="AQ648" s="281"/>
      <c r="AR648" s="59">
        <v>137</v>
      </c>
      <c r="AS648" s="59">
        <v>86</v>
      </c>
      <c r="AT648" s="59">
        <v>138</v>
      </c>
      <c r="AU648" s="59">
        <v>17</v>
      </c>
      <c r="AV648" s="62">
        <v>289</v>
      </c>
      <c r="AW648" s="10"/>
      <c r="AX648" s="326">
        <v>39964</v>
      </c>
      <c r="AY648" s="5">
        <v>-1</v>
      </c>
      <c r="AZ648" s="10"/>
      <c r="BA648" s="8">
        <v>1938</v>
      </c>
      <c r="BB648" s="10">
        <v>59607871</v>
      </c>
      <c r="BC648" s="10"/>
      <c r="BD648" s="10"/>
      <c r="BE648" s="10">
        <v>68</v>
      </c>
      <c r="BF648" s="59">
        <v>0</v>
      </c>
      <c r="BG648" s="59">
        <v>0</v>
      </c>
      <c r="BH648" s="351"/>
      <c r="BI648" s="10">
        <v>2926455</v>
      </c>
      <c r="BJ648" s="338">
        <v>39974</v>
      </c>
      <c r="BK648" s="342">
        <v>40071</v>
      </c>
      <c r="BL648" s="320">
        <f>BK648-BJ648</f>
        <v>97</v>
      </c>
      <c r="BM648" s="5"/>
      <c r="BN648" s="10"/>
      <c r="BO648" s="8"/>
      <c r="BP648" s="5">
        <v>165</v>
      </c>
      <c r="BQ648" s="10"/>
      <c r="BR648" s="29">
        <v>2009</v>
      </c>
      <c r="BS648" s="64">
        <v>2009</v>
      </c>
      <c r="BT648" s="14">
        <v>11</v>
      </c>
      <c r="BU648" s="10"/>
      <c r="BV648" s="8">
        <v>0</v>
      </c>
      <c r="BW648" s="59">
        <v>0</v>
      </c>
      <c r="BX648" s="59">
        <v>0</v>
      </c>
      <c r="BY648" s="59">
        <v>0</v>
      </c>
      <c r="BZ648" s="59">
        <v>0</v>
      </c>
      <c r="CA648" s="59">
        <v>0</v>
      </c>
      <c r="CB648" s="59">
        <v>0</v>
      </c>
      <c r="CC648" s="221"/>
      <c r="CD648" s="59">
        <v>5</v>
      </c>
      <c r="CE648" s="59">
        <v>0</v>
      </c>
      <c r="CF648" s="317">
        <v>0</v>
      </c>
      <c r="CG648" s="59">
        <v>0</v>
      </c>
      <c r="CH648" s="10">
        <v>1</v>
      </c>
      <c r="CI648" s="59">
        <v>4</v>
      </c>
      <c r="CJ648" s="59">
        <v>2</v>
      </c>
      <c r="CK648" s="59"/>
      <c r="CL648" s="59">
        <v>0</v>
      </c>
      <c r="CM648" s="59">
        <v>0</v>
      </c>
      <c r="CN648" s="59">
        <v>0</v>
      </c>
      <c r="CO648" s="59">
        <v>4</v>
      </c>
      <c r="CP648" s="317"/>
      <c r="CQ648" s="59">
        <v>0</v>
      </c>
      <c r="CR648" s="59"/>
      <c r="CS648" s="59">
        <v>0</v>
      </c>
      <c r="CT648" s="59">
        <v>3</v>
      </c>
      <c r="CU648" s="59">
        <v>0</v>
      </c>
      <c r="CV648" s="59">
        <v>3</v>
      </c>
      <c r="CW648" s="59">
        <v>0</v>
      </c>
      <c r="CX648" s="59">
        <v>0</v>
      </c>
      <c r="CY648" s="59">
        <v>0</v>
      </c>
      <c r="CZ648" s="59">
        <v>0</v>
      </c>
      <c r="DA648" s="59">
        <v>0</v>
      </c>
      <c r="DB648" s="59">
        <v>0</v>
      </c>
      <c r="DC648" s="59">
        <v>0</v>
      </c>
      <c r="DD648" s="59">
        <v>0</v>
      </c>
      <c r="DE648" s="59">
        <v>0</v>
      </c>
      <c r="DF648" s="59">
        <v>0</v>
      </c>
      <c r="DG648" s="59">
        <v>0</v>
      </c>
      <c r="DH648" s="59">
        <v>0</v>
      </c>
      <c r="DI648" s="10">
        <v>1</v>
      </c>
      <c r="DJ648" s="59">
        <v>0</v>
      </c>
      <c r="DK648" s="59">
        <v>0</v>
      </c>
      <c r="DL648" s="10">
        <v>3</v>
      </c>
      <c r="DM648" s="59">
        <v>0</v>
      </c>
      <c r="DN648" s="59">
        <v>0</v>
      </c>
      <c r="DO648" s="59">
        <v>0</v>
      </c>
      <c r="DP648" s="59">
        <v>0</v>
      </c>
      <c r="DQ648" s="59">
        <v>0</v>
      </c>
      <c r="DR648" s="59"/>
      <c r="DS648" s="10">
        <v>1</v>
      </c>
      <c r="DT648" s="59">
        <v>0</v>
      </c>
      <c r="DU648" s="59">
        <v>0</v>
      </c>
      <c r="DV648" s="38">
        <f t="shared" si="302"/>
        <v>27</v>
      </c>
      <c r="DW648" s="14" t="str">
        <f t="shared" si="301"/>
        <v/>
      </c>
      <c r="DY648">
        <f t="shared" si="304"/>
        <v>27</v>
      </c>
      <c r="DZ648" t="str">
        <f t="shared" si="305"/>
        <v/>
      </c>
    </row>
    <row r="649" spans="1:130" customFormat="1">
      <c r="A649" s="210">
        <v>39979</v>
      </c>
      <c r="B649" s="211"/>
      <c r="C649" s="8">
        <v>0</v>
      </c>
      <c r="D649" s="59">
        <v>15</v>
      </c>
      <c r="E649" s="59">
        <v>1</v>
      </c>
      <c r="F649" s="59">
        <v>0</v>
      </c>
      <c r="G649" s="59">
        <v>0</v>
      </c>
      <c r="H649" s="59">
        <v>1</v>
      </c>
      <c r="I649" s="59">
        <v>0</v>
      </c>
      <c r="J649" s="59">
        <v>5</v>
      </c>
      <c r="K649" s="59">
        <v>0</v>
      </c>
      <c r="L649" s="59">
        <v>0</v>
      </c>
      <c r="M649" s="59">
        <v>0</v>
      </c>
      <c r="N649" s="59">
        <v>0</v>
      </c>
      <c r="O649" s="59">
        <v>3</v>
      </c>
      <c r="P649" s="59">
        <v>2</v>
      </c>
      <c r="Q649" s="59">
        <v>0</v>
      </c>
      <c r="R649" s="59">
        <v>0</v>
      </c>
      <c r="S649" s="35">
        <f>SUM(C649:R649)</f>
        <v>27</v>
      </c>
      <c r="T649" s="59"/>
      <c r="U649" s="59">
        <v>5</v>
      </c>
      <c r="V649" s="59">
        <v>5</v>
      </c>
      <c r="W649" s="59">
        <v>0</v>
      </c>
      <c r="X649" s="5">
        <v>0</v>
      </c>
      <c r="Y649" s="10"/>
      <c r="Z649" s="61">
        <v>2219520</v>
      </c>
      <c r="AA649" s="101"/>
      <c r="AB649" s="101"/>
      <c r="AC649" s="61">
        <v>542665</v>
      </c>
      <c r="AD649" s="59"/>
      <c r="AE649" s="35">
        <f t="shared" si="300"/>
        <v>542665</v>
      </c>
      <c r="AF649" s="10"/>
      <c r="AG649" s="8">
        <v>74</v>
      </c>
      <c r="AH649" s="59">
        <v>54</v>
      </c>
      <c r="AI649" s="59">
        <v>140</v>
      </c>
      <c r="AJ649" s="5"/>
      <c r="AK649" s="10"/>
      <c r="AL649" s="8"/>
      <c r="AM649" s="10"/>
      <c r="AN649" s="35"/>
      <c r="AO649" s="279"/>
      <c r="AP649" s="279"/>
      <c r="AQ649" s="281"/>
      <c r="AR649" s="59">
        <v>137</v>
      </c>
      <c r="AS649" s="59">
        <v>87</v>
      </c>
      <c r="AT649" s="59">
        <v>143</v>
      </c>
      <c r="AU649" s="59">
        <v>17</v>
      </c>
      <c r="AV649" s="62">
        <v>295</v>
      </c>
      <c r="AW649" s="10"/>
      <c r="AX649" s="326">
        <v>39979</v>
      </c>
      <c r="AY649" s="5">
        <v>0</v>
      </c>
      <c r="AZ649" s="10"/>
      <c r="BA649" s="8"/>
      <c r="BB649" s="10"/>
      <c r="BC649" s="10"/>
      <c r="BD649" s="10"/>
      <c r="BE649" s="10"/>
      <c r="BF649" s="10"/>
      <c r="BG649" s="10"/>
      <c r="BH649" s="30"/>
      <c r="BI649" s="10"/>
      <c r="BJ649" s="338"/>
      <c r="BK649" s="338"/>
      <c r="BL649" s="320"/>
      <c r="BM649" s="5"/>
      <c r="BN649" s="10"/>
      <c r="BO649" s="8"/>
      <c r="BP649" s="5"/>
      <c r="BQ649" s="10"/>
      <c r="BR649" s="29">
        <v>2009</v>
      </c>
      <c r="BS649" s="64">
        <v>2009</v>
      </c>
      <c r="BT649" s="14">
        <v>12</v>
      </c>
      <c r="BU649" s="10"/>
      <c r="BV649" s="8">
        <v>5</v>
      </c>
      <c r="BW649" s="10">
        <v>2</v>
      </c>
      <c r="BX649" s="59">
        <v>0</v>
      </c>
      <c r="BY649" s="59">
        <v>0</v>
      </c>
      <c r="BZ649" s="59">
        <v>0</v>
      </c>
      <c r="CA649" s="59">
        <v>0</v>
      </c>
      <c r="CB649" s="59">
        <v>0</v>
      </c>
      <c r="CC649" s="221"/>
      <c r="CD649" s="59">
        <v>7</v>
      </c>
      <c r="CE649" s="59">
        <v>0</v>
      </c>
      <c r="CF649" s="317">
        <v>0</v>
      </c>
      <c r="CG649" s="59">
        <v>0</v>
      </c>
      <c r="CH649" s="59">
        <v>0</v>
      </c>
      <c r="CI649" s="59">
        <v>0</v>
      </c>
      <c r="CJ649" s="59">
        <v>1</v>
      </c>
      <c r="CK649" s="59"/>
      <c r="CL649" s="59">
        <v>0</v>
      </c>
      <c r="CM649" s="59">
        <v>0</v>
      </c>
      <c r="CN649" s="59">
        <v>0</v>
      </c>
      <c r="CO649" s="59">
        <v>4</v>
      </c>
      <c r="CP649" s="317"/>
      <c r="CQ649" s="59">
        <v>0</v>
      </c>
      <c r="CR649" s="59"/>
      <c r="CS649" s="59">
        <v>0</v>
      </c>
      <c r="CT649" s="59">
        <v>1</v>
      </c>
      <c r="CU649" s="59">
        <v>0</v>
      </c>
      <c r="CV649" s="59">
        <v>4</v>
      </c>
      <c r="CW649" s="59">
        <v>0</v>
      </c>
      <c r="CX649" s="59">
        <v>0</v>
      </c>
      <c r="CY649" s="59">
        <v>0</v>
      </c>
      <c r="CZ649" s="59">
        <v>0</v>
      </c>
      <c r="DA649" s="59">
        <v>0</v>
      </c>
      <c r="DB649" s="10">
        <v>3</v>
      </c>
      <c r="DC649" s="59">
        <v>0</v>
      </c>
      <c r="DD649" s="59">
        <v>0</v>
      </c>
      <c r="DE649" s="59">
        <v>0</v>
      </c>
      <c r="DF649" s="59">
        <v>0</v>
      </c>
      <c r="DG649" s="59">
        <v>0</v>
      </c>
      <c r="DH649" s="59">
        <v>0</v>
      </c>
      <c r="DI649" s="59">
        <v>0</v>
      </c>
      <c r="DJ649" s="59">
        <v>0</v>
      </c>
      <c r="DK649" s="59">
        <v>0</v>
      </c>
      <c r="DL649" s="59">
        <v>0</v>
      </c>
      <c r="DM649" s="59">
        <v>0</v>
      </c>
      <c r="DN649" s="59">
        <v>0</v>
      </c>
      <c r="DO649" s="59">
        <v>0</v>
      </c>
      <c r="DP649" s="59">
        <v>0</v>
      </c>
      <c r="DQ649" s="59">
        <v>0</v>
      </c>
      <c r="DR649" s="59"/>
      <c r="DS649" s="59">
        <v>0</v>
      </c>
      <c r="DT649" s="59">
        <v>0</v>
      </c>
      <c r="DU649" s="59">
        <v>0</v>
      </c>
      <c r="DV649" s="38">
        <f t="shared" si="302"/>
        <v>27</v>
      </c>
      <c r="DW649" s="14" t="str">
        <f t="shared" si="301"/>
        <v/>
      </c>
      <c r="DY649">
        <f t="shared" si="304"/>
        <v>27</v>
      </c>
      <c r="DZ649" t="str">
        <f t="shared" si="305"/>
        <v/>
      </c>
    </row>
    <row r="650" spans="1:130" s="6" customFormat="1" ht="12" thickBot="1">
      <c r="A650" s="212" t="s">
        <v>237</v>
      </c>
      <c r="B650" s="83"/>
      <c r="C650" s="52">
        <f t="shared" ref="C650:X650" si="306">SUM(C626:C649)</f>
        <v>72</v>
      </c>
      <c r="D650" s="53">
        <f t="shared" si="306"/>
        <v>479</v>
      </c>
      <c r="E650" s="53">
        <f t="shared" si="306"/>
        <v>11</v>
      </c>
      <c r="F650" s="53">
        <f t="shared" si="306"/>
        <v>14</v>
      </c>
      <c r="G650" s="53">
        <f t="shared" si="306"/>
        <v>21</v>
      </c>
      <c r="H650" s="53">
        <f t="shared" si="306"/>
        <v>46</v>
      </c>
      <c r="I650" s="53">
        <f>SUM(I626:I649)</f>
        <v>0</v>
      </c>
      <c r="J650" s="53">
        <f t="shared" si="306"/>
        <v>228</v>
      </c>
      <c r="K650" s="53">
        <f t="shared" si="306"/>
        <v>7</v>
      </c>
      <c r="L650" s="53">
        <f t="shared" ref="L650:P650" si="307">SUM(L626:L649)</f>
        <v>1</v>
      </c>
      <c r="M650" s="53">
        <f t="shared" si="307"/>
        <v>3</v>
      </c>
      <c r="N650" s="53">
        <f t="shared" si="307"/>
        <v>0</v>
      </c>
      <c r="O650" s="53">
        <f>SUM(O626:O649)</f>
        <v>276</v>
      </c>
      <c r="P650" s="53">
        <f t="shared" si="307"/>
        <v>40</v>
      </c>
      <c r="Q650" s="53">
        <f t="shared" si="306"/>
        <v>1</v>
      </c>
      <c r="R650" s="53">
        <f t="shared" si="306"/>
        <v>0</v>
      </c>
      <c r="S650" s="55">
        <f t="shared" si="306"/>
        <v>1199</v>
      </c>
      <c r="T650" s="53">
        <f t="shared" si="306"/>
        <v>0</v>
      </c>
      <c r="U650" s="53">
        <f t="shared" si="306"/>
        <v>348</v>
      </c>
      <c r="V650" s="53">
        <f t="shared" ref="V650" si="308">SUM(V626:V649)</f>
        <v>281</v>
      </c>
      <c r="W650" s="53">
        <f t="shared" si="306"/>
        <v>0</v>
      </c>
      <c r="X650" s="54">
        <f t="shared" si="306"/>
        <v>3</v>
      </c>
      <c r="Z650" s="52">
        <f>SUM(Z626:Z649)</f>
        <v>62962152</v>
      </c>
      <c r="AA650" s="53">
        <f>SUM(AA626:AA649)</f>
        <v>0</v>
      </c>
      <c r="AB650" s="53"/>
      <c r="AC650" s="52">
        <f>SUM(AC626:AC649)</f>
        <v>19648904</v>
      </c>
      <c r="AD650" s="53">
        <f>SUM(AD626:AD649)</f>
        <v>0</v>
      </c>
      <c r="AE650" s="55">
        <f>SUM(AE626:AE649)</f>
        <v>19648904</v>
      </c>
      <c r="AG650" s="52">
        <f>SUM(AG626:AG649)</f>
        <v>1771</v>
      </c>
      <c r="AH650" s="53">
        <f>SUM(AH626:AH649)</f>
        <v>1664</v>
      </c>
      <c r="AI650" s="53">
        <f>SUM(AI626:AI649)</f>
        <v>3738</v>
      </c>
      <c r="AJ650" s="54">
        <f>SUM(AJ626:AJ649)</f>
        <v>0</v>
      </c>
      <c r="AL650" s="52">
        <f t="shared" ref="AL650:AV650" si="309">SUM(AL626:AL649)</f>
        <v>0</v>
      </c>
      <c r="AM650" s="53">
        <f t="shared" si="309"/>
        <v>157</v>
      </c>
      <c r="AN650" s="55">
        <f t="shared" si="309"/>
        <v>157</v>
      </c>
      <c r="AO650" s="283"/>
      <c r="AP650" s="283"/>
      <c r="AQ650" s="284"/>
      <c r="AR650" s="53">
        <f t="shared" si="309"/>
        <v>3297</v>
      </c>
      <c r="AS650" s="53">
        <f t="shared" si="309"/>
        <v>1398</v>
      </c>
      <c r="AT650" s="53">
        <f t="shared" si="309"/>
        <v>2258</v>
      </c>
      <c r="AU650" s="53">
        <f t="shared" si="309"/>
        <v>289</v>
      </c>
      <c r="AV650" s="54">
        <f t="shared" si="309"/>
        <v>4732</v>
      </c>
      <c r="AX650" s="329"/>
      <c r="AY650" s="54"/>
      <c r="BA650" s="52">
        <f t="shared" ref="BA650:BM650" si="310">SUM(BA626:BA649)</f>
        <v>22991</v>
      </c>
      <c r="BB650" s="53">
        <f t="shared" si="310"/>
        <v>686831541</v>
      </c>
      <c r="BC650" s="53">
        <f t="shared" si="310"/>
        <v>0</v>
      </c>
      <c r="BD650" s="53"/>
      <c r="BE650" s="53">
        <f t="shared" si="310"/>
        <v>936</v>
      </c>
      <c r="BF650" s="53">
        <f t="shared" si="310"/>
        <v>77</v>
      </c>
      <c r="BG650" s="53">
        <f t="shared" si="310"/>
        <v>7</v>
      </c>
      <c r="BH650" s="55"/>
      <c r="BI650" s="53">
        <f t="shared" si="310"/>
        <v>45530617</v>
      </c>
      <c r="BJ650" s="339"/>
      <c r="BK650" s="339"/>
      <c r="BL650" s="304"/>
      <c r="BM650" s="54">
        <f t="shared" si="310"/>
        <v>0</v>
      </c>
      <c r="BO650" s="52">
        <f>SUM(BO626:BO649)</f>
        <v>0</v>
      </c>
      <c r="BP650" s="54">
        <f>SUM(BP626:BP649)</f>
        <v>1952</v>
      </c>
      <c r="BR650" s="81" t="s">
        <v>241</v>
      </c>
      <c r="BS650" s="80"/>
      <c r="BT650" s="82"/>
      <c r="BV650" s="52">
        <f t="shared" ref="BV650:BW650" si="311">SUM(BV626:BV649)</f>
        <v>63</v>
      </c>
      <c r="BW650" s="53">
        <f t="shared" si="311"/>
        <v>21</v>
      </c>
      <c r="BX650" s="53">
        <f t="shared" ref="BX650:DU650" si="312">SUM(BX626:BX649)</f>
        <v>73</v>
      </c>
      <c r="BY650" s="53">
        <f t="shared" si="312"/>
        <v>0</v>
      </c>
      <c r="BZ650" s="53">
        <f t="shared" si="312"/>
        <v>0</v>
      </c>
      <c r="CA650" s="53">
        <f t="shared" si="312"/>
        <v>1</v>
      </c>
      <c r="CB650" s="53">
        <f t="shared" si="312"/>
        <v>8</v>
      </c>
      <c r="CC650" s="53">
        <f t="shared" si="312"/>
        <v>0</v>
      </c>
      <c r="CD650" s="53">
        <f t="shared" si="312"/>
        <v>103</v>
      </c>
      <c r="CE650" s="53">
        <f t="shared" si="312"/>
        <v>11</v>
      </c>
      <c r="CF650" s="53">
        <f t="shared" si="312"/>
        <v>0</v>
      </c>
      <c r="CG650" s="53">
        <f t="shared" si="312"/>
        <v>4</v>
      </c>
      <c r="CH650" s="53">
        <f t="shared" si="312"/>
        <v>11</v>
      </c>
      <c r="CI650" s="53">
        <f t="shared" si="312"/>
        <v>119</v>
      </c>
      <c r="CJ650" s="53">
        <f t="shared" si="312"/>
        <v>70</v>
      </c>
      <c r="CK650" s="53">
        <f t="shared" si="312"/>
        <v>0</v>
      </c>
      <c r="CL650" s="53">
        <f t="shared" si="312"/>
        <v>0</v>
      </c>
      <c r="CM650" s="53">
        <f t="shared" si="312"/>
        <v>4</v>
      </c>
      <c r="CN650" s="53">
        <f t="shared" si="312"/>
        <v>2</v>
      </c>
      <c r="CO650" s="53">
        <f t="shared" si="312"/>
        <v>128</v>
      </c>
      <c r="CP650" s="53">
        <f t="shared" si="312"/>
        <v>0</v>
      </c>
      <c r="CQ650" s="53">
        <f t="shared" si="312"/>
        <v>4</v>
      </c>
      <c r="CR650" s="53">
        <f t="shared" si="312"/>
        <v>0</v>
      </c>
      <c r="CS650" s="53">
        <f t="shared" si="312"/>
        <v>23</v>
      </c>
      <c r="CT650" s="53">
        <f t="shared" si="312"/>
        <v>90</v>
      </c>
      <c r="CU650" s="53">
        <f t="shared" si="312"/>
        <v>0</v>
      </c>
      <c r="CV650" s="53">
        <f t="shared" si="312"/>
        <v>73</v>
      </c>
      <c r="CW650" s="53">
        <f t="shared" si="312"/>
        <v>3</v>
      </c>
      <c r="CX650" s="53">
        <f t="shared" si="312"/>
        <v>2</v>
      </c>
      <c r="CY650" s="53">
        <f t="shared" si="312"/>
        <v>27</v>
      </c>
      <c r="CZ650" s="53">
        <f t="shared" si="312"/>
        <v>6</v>
      </c>
      <c r="DA650" s="53">
        <f t="shared" si="312"/>
        <v>4</v>
      </c>
      <c r="DB650" s="53">
        <f t="shared" si="312"/>
        <v>114</v>
      </c>
      <c r="DC650" s="53">
        <f t="shared" si="312"/>
        <v>25</v>
      </c>
      <c r="DD650" s="53">
        <f t="shared" si="312"/>
        <v>3</v>
      </c>
      <c r="DE650" s="53">
        <f t="shared" si="312"/>
        <v>1</v>
      </c>
      <c r="DF650" s="53">
        <f t="shared" si="312"/>
        <v>0</v>
      </c>
      <c r="DG650" s="53">
        <f t="shared" si="312"/>
        <v>54</v>
      </c>
      <c r="DH650" s="53">
        <f t="shared" si="312"/>
        <v>19</v>
      </c>
      <c r="DI650" s="53">
        <f t="shared" si="312"/>
        <v>7</v>
      </c>
      <c r="DJ650" s="53">
        <f t="shared" si="312"/>
        <v>4</v>
      </c>
      <c r="DK650" s="53">
        <f t="shared" si="312"/>
        <v>0</v>
      </c>
      <c r="DL650" s="53">
        <f t="shared" si="312"/>
        <v>10</v>
      </c>
      <c r="DM650" s="53">
        <f t="shared" si="312"/>
        <v>43</v>
      </c>
      <c r="DN650" s="53">
        <f t="shared" si="312"/>
        <v>1</v>
      </c>
      <c r="DO650" s="53">
        <f t="shared" si="312"/>
        <v>34</v>
      </c>
      <c r="DP650" s="53">
        <f t="shared" si="312"/>
        <v>7</v>
      </c>
      <c r="DQ650" s="53">
        <f t="shared" si="312"/>
        <v>0</v>
      </c>
      <c r="DR650" s="53">
        <f t="shared" si="312"/>
        <v>0</v>
      </c>
      <c r="DS650" s="53">
        <f t="shared" si="312"/>
        <v>27</v>
      </c>
      <c r="DT650" s="53">
        <f t="shared" si="312"/>
        <v>0</v>
      </c>
      <c r="DU650" s="53">
        <f t="shared" si="312"/>
        <v>0</v>
      </c>
      <c r="DV650" s="54">
        <f t="shared" si="302"/>
        <v>1199</v>
      </c>
      <c r="DW650" s="48"/>
    </row>
    <row r="651" spans="1:130" s="6" customFormat="1" ht="12" thickTop="1">
      <c r="A651" s="213" t="s">
        <v>238</v>
      </c>
      <c r="B651" s="24"/>
      <c r="C651" s="39">
        <f t="shared" ref="C651:R651" si="313">ROUND(IF(ISERROR(AVERAGE(C626:C649)),0,AVERAGE(C626:C649)),0)</f>
        <v>3</v>
      </c>
      <c r="D651" s="24">
        <f t="shared" si="313"/>
        <v>20</v>
      </c>
      <c r="E651" s="24">
        <f t="shared" si="313"/>
        <v>0</v>
      </c>
      <c r="F651" s="24">
        <f t="shared" si="313"/>
        <v>1</v>
      </c>
      <c r="G651" s="24">
        <f t="shared" si="313"/>
        <v>1</v>
      </c>
      <c r="H651" s="24">
        <f t="shared" si="313"/>
        <v>2</v>
      </c>
      <c r="I651" s="24">
        <f>ROUND(IF(ISERROR(AVERAGE(I626:I649)),0,AVERAGE(I626:I649)),0)</f>
        <v>0</v>
      </c>
      <c r="J651" s="24">
        <f t="shared" si="313"/>
        <v>10</v>
      </c>
      <c r="K651" s="24">
        <f t="shared" si="313"/>
        <v>0</v>
      </c>
      <c r="L651" s="24">
        <f t="shared" ref="L651:P651" si="314">ROUND(IF(ISERROR(AVERAGE(L626:L649)),0,AVERAGE(L626:L649)),0)</f>
        <v>0</v>
      </c>
      <c r="M651" s="24">
        <f t="shared" si="314"/>
        <v>0</v>
      </c>
      <c r="N651" s="24">
        <f t="shared" si="314"/>
        <v>0</v>
      </c>
      <c r="O651" s="24">
        <f>ROUND(IF(ISERROR(AVERAGE(O626:O649)),0,AVERAGE(O626:O649)),0)</f>
        <v>12</v>
      </c>
      <c r="P651" s="24">
        <f t="shared" si="314"/>
        <v>2</v>
      </c>
      <c r="Q651" s="24">
        <f t="shared" si="313"/>
        <v>0</v>
      </c>
      <c r="R651" s="24">
        <f t="shared" si="313"/>
        <v>0</v>
      </c>
      <c r="S651" s="31">
        <f>SUM(C651:R651)</f>
        <v>51</v>
      </c>
      <c r="T651" s="24">
        <f>ROUND(IF(ISERROR(AVERAGE(T626:T649)),0,AVERAGE(T626:T649)),0)</f>
        <v>0</v>
      </c>
      <c r="U651" s="24">
        <f>ROUND(IF(ISERROR(AVERAGE(U626:U649)),0,AVERAGE(U626:U649)),0)</f>
        <v>15</v>
      </c>
      <c r="V651" s="24">
        <f>ROUND(IF(ISERROR(AVERAGE(V626:V649)),0,AVERAGE(V626:V649)),0)</f>
        <v>12</v>
      </c>
      <c r="W651" s="24">
        <f>ROUND(IF(ISERROR(AVERAGE(W626:W649)),0,AVERAGE(W626:W649)),0)</f>
        <v>0</v>
      </c>
      <c r="X651" s="40">
        <f>ROUND(IF(ISERROR(AVERAGE(X626:X649)),0,AVERAGE(X626:X649)),0)</f>
        <v>0</v>
      </c>
      <c r="Z651" s="39">
        <f>ROUND(IF(ISERROR(AVERAGE(Z626:Z649)),0,AVERAGE(Z626:Z649)),0)</f>
        <v>2623423</v>
      </c>
      <c r="AA651" s="24">
        <f>ROUND(IF(ISERROR(AVERAGE(AA626:AA649)),0,AVERAGE(AA626:AA649)),0)</f>
        <v>0</v>
      </c>
      <c r="AB651" s="24"/>
      <c r="AC651" s="39">
        <f>ROUND(IF(ISERROR(AVERAGE(AC626:AC649)),0,AVERAGE(AC626:AC649)),0)</f>
        <v>818704</v>
      </c>
      <c r="AD651" s="24">
        <f>ROUND(IF(ISERROR(AVERAGE(AD626:AD649)),0,AVERAGE(AD626:AD649)),0)</f>
        <v>0</v>
      </c>
      <c r="AE651" s="31">
        <f>SUM(AC651:AD651)</f>
        <v>818704</v>
      </c>
      <c r="AG651" s="39">
        <f>ROUND(IF(ISERROR(AVERAGE(AG626:AG649)),0,AVERAGE(AG626:AG649)),0)</f>
        <v>74</v>
      </c>
      <c r="AH651" s="24">
        <f>ROUND(IF(ISERROR(AVERAGE(AH626:AH649)),0,AVERAGE(AH626:AH649)),0)</f>
        <v>69</v>
      </c>
      <c r="AI651" s="24">
        <f>ROUND(IF(ISERROR(AVERAGE(AI626:AI649)),0,AVERAGE(AI626:AI649)),0)</f>
        <v>156</v>
      </c>
      <c r="AJ651" s="40">
        <f>ROUND(IF(ISERROR(AVERAGE(AJ626:AJ649)),0,AVERAGE(AJ626:AJ649)),0)</f>
        <v>0</v>
      </c>
      <c r="AL651" s="39">
        <f>ROUND(IF(ISERROR(AVERAGE(AL626:AL649)),0,AVERAGE(AL626:AL649)),0)</f>
        <v>0</v>
      </c>
      <c r="AM651" s="24">
        <f>ROUND(IF(ISERROR(AVERAGE(AM626:AM649)),0,AVERAGE(AM626:AM649)),0)</f>
        <v>39</v>
      </c>
      <c r="AN651" s="31">
        <f>SUM(AL651:AM651)</f>
        <v>39</v>
      </c>
      <c r="AO651" s="285"/>
      <c r="AP651" s="285"/>
      <c r="AQ651" s="281"/>
      <c r="AR651" s="24">
        <f>ROUND(IF(ISERROR(AVERAGE(AR626:AR649)),0,AVERAGE(AR626:AR649)),0)</f>
        <v>137</v>
      </c>
      <c r="AS651" s="24">
        <f>ROUND(IF(ISERROR(AVERAGE(AS626:AS649)),0,AVERAGE(AS626:AS649)),0)</f>
        <v>82</v>
      </c>
      <c r="AT651" s="24">
        <f>ROUND(IF(ISERROR(AVERAGE(AT626:AT649)),0,AVERAGE(AT626:AT649)),0)</f>
        <v>133</v>
      </c>
      <c r="AU651" s="24">
        <f>ROUND(IF(ISERROR(AVERAGE(AU626:AU649)),0,AVERAGE(AU626:AU649)),0)</f>
        <v>17</v>
      </c>
      <c r="AV651" s="40">
        <f>ROUND(IF(ISERROR(AVERAGE(AV626:AV649)),0,AVERAGE(AV626:AV649)),0)</f>
        <v>278</v>
      </c>
      <c r="AX651" s="330"/>
      <c r="AY651" s="40">
        <f>ROUND(IF(ISERROR(AVERAGE(AY626:AY649)),0,AVERAGE(AY626:AY649)),0)</f>
        <v>-2</v>
      </c>
      <c r="BA651" s="39">
        <f t="shared" ref="BA651:BM651" si="315">ROUND(IF(ISERROR(AVERAGE(BA626:BA649)),0,AVERAGE(BA626:BA649)),0)</f>
        <v>1916</v>
      </c>
      <c r="BB651" s="24">
        <f t="shared" si="315"/>
        <v>57235962</v>
      </c>
      <c r="BC651" s="24">
        <f t="shared" si="315"/>
        <v>0</v>
      </c>
      <c r="BD651" s="24"/>
      <c r="BE651" s="24">
        <f t="shared" si="315"/>
        <v>78</v>
      </c>
      <c r="BF651" s="24">
        <f t="shared" si="315"/>
        <v>6</v>
      </c>
      <c r="BG651" s="24">
        <f t="shared" si="315"/>
        <v>1</v>
      </c>
      <c r="BH651" s="31"/>
      <c r="BI651" s="24">
        <f t="shared" si="315"/>
        <v>3794218</v>
      </c>
      <c r="BJ651" s="340"/>
      <c r="BK651" s="340"/>
      <c r="BL651" s="305">
        <f>AVERAGE(BL626:BL649)</f>
        <v>38.666666666666664</v>
      </c>
      <c r="BM651" s="40">
        <f t="shared" si="315"/>
        <v>0</v>
      </c>
      <c r="BO651" s="39">
        <f>ROUND(IF(ISERROR(AVERAGE(BO626:BO649)),0,AVERAGE(BO626:BO649)),0)</f>
        <v>0</v>
      </c>
      <c r="BP651" s="40">
        <f>ROUND(IF(ISERROR(AVERAGE(BP626:BP649)),0,AVERAGE(BP626:BP649)),0)</f>
        <v>163</v>
      </c>
      <c r="BR651" s="65" t="s">
        <v>242</v>
      </c>
      <c r="BS651" s="19"/>
      <c r="BT651" s="14"/>
      <c r="BV651" s="39">
        <f>ROUND(IF(ISERROR(AVERAGE(BV626:BV649)),0,AVERAGE(BV626:BV649)),0)</f>
        <v>3</v>
      </c>
      <c r="BW651" s="24">
        <f t="shared" ref="BW651" si="316">ROUND(IF(ISERROR(AVERAGE(BW626:BW649)),0,AVERAGE(BW626:BW649)),0)</f>
        <v>1</v>
      </c>
      <c r="BX651" s="24">
        <f t="shared" ref="BX651:DU651" si="317">ROUND(IF(ISERROR(AVERAGE(BX626:BX649)),0,AVERAGE(BX626:BX649)),0)</f>
        <v>3</v>
      </c>
      <c r="BY651" s="24">
        <f t="shared" si="317"/>
        <v>0</v>
      </c>
      <c r="BZ651" s="24">
        <f t="shared" si="317"/>
        <v>0</v>
      </c>
      <c r="CA651" s="24">
        <f t="shared" si="317"/>
        <v>0</v>
      </c>
      <c r="CB651" s="24">
        <f t="shared" si="317"/>
        <v>0</v>
      </c>
      <c r="CC651" s="24">
        <f t="shared" si="317"/>
        <v>0</v>
      </c>
      <c r="CD651" s="24">
        <f t="shared" si="317"/>
        <v>4</v>
      </c>
      <c r="CE651" s="24">
        <f t="shared" si="317"/>
        <v>0</v>
      </c>
      <c r="CF651" s="24">
        <f t="shared" si="317"/>
        <v>0</v>
      </c>
      <c r="CG651" s="24">
        <f t="shared" si="317"/>
        <v>0</v>
      </c>
      <c r="CH651" s="24">
        <f t="shared" si="317"/>
        <v>0</v>
      </c>
      <c r="CI651" s="24">
        <f t="shared" si="317"/>
        <v>5</v>
      </c>
      <c r="CJ651" s="24">
        <f t="shared" si="317"/>
        <v>3</v>
      </c>
      <c r="CK651" s="24">
        <f t="shared" si="317"/>
        <v>0</v>
      </c>
      <c r="CL651" s="24">
        <f t="shared" si="317"/>
        <v>0</v>
      </c>
      <c r="CM651" s="24">
        <f t="shared" si="317"/>
        <v>0</v>
      </c>
      <c r="CN651" s="24">
        <f t="shared" si="317"/>
        <v>0</v>
      </c>
      <c r="CO651" s="24">
        <f t="shared" si="317"/>
        <v>5</v>
      </c>
      <c r="CP651" s="24">
        <f t="shared" si="317"/>
        <v>0</v>
      </c>
      <c r="CQ651" s="24">
        <f t="shared" si="317"/>
        <v>0</v>
      </c>
      <c r="CR651" s="24">
        <f t="shared" si="317"/>
        <v>0</v>
      </c>
      <c r="CS651" s="24">
        <f t="shared" si="317"/>
        <v>1</v>
      </c>
      <c r="CT651" s="24">
        <f t="shared" si="317"/>
        <v>4</v>
      </c>
      <c r="CU651" s="24">
        <f t="shared" si="317"/>
        <v>0</v>
      </c>
      <c r="CV651" s="24">
        <f t="shared" si="317"/>
        <v>3</v>
      </c>
      <c r="CW651" s="24">
        <f t="shared" si="317"/>
        <v>0</v>
      </c>
      <c r="CX651" s="24">
        <f t="shared" si="317"/>
        <v>0</v>
      </c>
      <c r="CY651" s="24">
        <f t="shared" si="317"/>
        <v>1</v>
      </c>
      <c r="CZ651" s="24">
        <f t="shared" si="317"/>
        <v>0</v>
      </c>
      <c r="DA651" s="24">
        <f t="shared" si="317"/>
        <v>0</v>
      </c>
      <c r="DB651" s="24">
        <f t="shared" si="317"/>
        <v>5</v>
      </c>
      <c r="DC651" s="24">
        <f t="shared" si="317"/>
        <v>1</v>
      </c>
      <c r="DD651" s="24">
        <f t="shared" si="317"/>
        <v>0</v>
      </c>
      <c r="DE651" s="24">
        <f t="shared" si="317"/>
        <v>0</v>
      </c>
      <c r="DF651" s="24">
        <f t="shared" si="317"/>
        <v>0</v>
      </c>
      <c r="DG651" s="24">
        <f t="shared" si="317"/>
        <v>2</v>
      </c>
      <c r="DH651" s="24">
        <f t="shared" si="317"/>
        <v>1</v>
      </c>
      <c r="DI651" s="24">
        <f t="shared" si="317"/>
        <v>0</v>
      </c>
      <c r="DJ651" s="24">
        <f t="shared" si="317"/>
        <v>0</v>
      </c>
      <c r="DK651" s="24">
        <f t="shared" si="317"/>
        <v>0</v>
      </c>
      <c r="DL651" s="24">
        <f t="shared" si="317"/>
        <v>0</v>
      </c>
      <c r="DM651" s="24">
        <f t="shared" si="317"/>
        <v>2</v>
      </c>
      <c r="DN651" s="24">
        <f t="shared" si="317"/>
        <v>0</v>
      </c>
      <c r="DO651" s="24">
        <f t="shared" si="317"/>
        <v>1</v>
      </c>
      <c r="DP651" s="24">
        <f t="shared" si="317"/>
        <v>0</v>
      </c>
      <c r="DQ651" s="24">
        <f t="shared" si="317"/>
        <v>0</v>
      </c>
      <c r="DR651" s="24">
        <f t="shared" si="317"/>
        <v>0</v>
      </c>
      <c r="DS651" s="24">
        <f t="shared" si="317"/>
        <v>1</v>
      </c>
      <c r="DT651" s="24">
        <f t="shared" si="317"/>
        <v>0</v>
      </c>
      <c r="DU651" s="24">
        <f t="shared" si="317"/>
        <v>0</v>
      </c>
      <c r="DV651" s="18"/>
      <c r="DW651" s="48"/>
    </row>
    <row r="652" spans="1:130" customFormat="1">
      <c r="A652" s="210" t="s">
        <v>239</v>
      </c>
      <c r="B652" s="211"/>
      <c r="C652" s="8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30">
        <f>MEDIAN(S626:S649)</f>
        <v>46</v>
      </c>
      <c r="T652" s="10"/>
      <c r="U652" s="10"/>
      <c r="V652" s="105"/>
      <c r="W652" s="10"/>
      <c r="X652" s="5"/>
      <c r="Y652" s="10"/>
      <c r="Z652" s="8"/>
      <c r="AA652" s="10" t="str">
        <f>IF(ISERROR(MEDIAN(AA626:AA649)),"",MEDIAN(AA626:AA649))</f>
        <v/>
      </c>
      <c r="AB652" s="10"/>
      <c r="AC652" s="8"/>
      <c r="AD652" s="10"/>
      <c r="AE652" s="30"/>
      <c r="AF652" s="10"/>
      <c r="AG652" s="8"/>
      <c r="AH652" s="10"/>
      <c r="AI652" s="10">
        <f>IF(ISERROR(MEDIAN(AI626:AI649)),"",MEDIAN(AI626:AI649))</f>
        <v>175</v>
      </c>
      <c r="AJ652" s="5" t="str">
        <f>IF(ISERROR(MEDIAN(AJ626:AJ649)),"",MEDIAN(AJ626:AJ649))</f>
        <v/>
      </c>
      <c r="AK652" s="10"/>
      <c r="AL652" s="8"/>
      <c r="AM652" s="10"/>
      <c r="AN652" s="30"/>
      <c r="AO652" s="10"/>
      <c r="AP652" s="10"/>
      <c r="AQ652" s="30"/>
      <c r="AR652" s="10"/>
      <c r="AS652" s="10"/>
      <c r="AT652" s="10"/>
      <c r="AU652" s="10"/>
      <c r="AV652" s="5"/>
      <c r="AW652" s="10"/>
      <c r="AX652" s="326"/>
      <c r="AY652" s="5"/>
      <c r="AZ652" s="10"/>
      <c r="BA652" s="8">
        <f>IF(ISERROR(MEDIAN(BA626:BA649)),"",MEDIAN(BA626:BA649))</f>
        <v>1920.5</v>
      </c>
      <c r="BB652" s="10"/>
      <c r="BC652" s="10"/>
      <c r="BD652" s="10"/>
      <c r="BE652" s="10"/>
      <c r="BF652" s="10"/>
      <c r="BG652" s="10"/>
      <c r="BH652" s="30"/>
      <c r="BI652" s="10"/>
      <c r="BJ652" s="338"/>
      <c r="BK652" s="338"/>
      <c r="BL652" s="303"/>
      <c r="BM652" s="5"/>
      <c r="BN652" s="10"/>
      <c r="BO652" s="8"/>
      <c r="BP652" s="5"/>
      <c r="BQ652" s="10"/>
      <c r="BR652" s="65"/>
      <c r="BS652" s="19"/>
      <c r="BT652" s="14"/>
      <c r="BU652" s="10"/>
      <c r="BV652" s="8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  <c r="DF652" s="10"/>
      <c r="DG652" s="10"/>
      <c r="DH652" s="10"/>
      <c r="DI652" s="10"/>
      <c r="DJ652" s="10"/>
      <c r="DK652" s="10"/>
      <c r="DL652" s="10"/>
      <c r="DM652" s="10"/>
      <c r="DN652" s="10"/>
      <c r="DO652" s="10"/>
      <c r="DP652" s="10"/>
      <c r="DQ652" s="10"/>
      <c r="DR652" s="10"/>
      <c r="DS652" s="10"/>
      <c r="DT652" s="10"/>
      <c r="DU652" s="10"/>
      <c r="DV652" s="5"/>
      <c r="DW652" s="21"/>
    </row>
    <row r="653" spans="1:130" customFormat="1" ht="12" thickBot="1">
      <c r="A653" s="214" t="s">
        <v>240</v>
      </c>
      <c r="B653" s="195"/>
      <c r="C653" s="41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32">
        <f>MODE(S626:S649)</f>
        <v>47</v>
      </c>
      <c r="T653" s="22"/>
      <c r="U653" s="63"/>
      <c r="V653" s="63"/>
      <c r="W653" s="22"/>
      <c r="X653" s="42"/>
      <c r="Y653" s="22"/>
      <c r="Z653" s="41"/>
      <c r="AA653" s="22"/>
      <c r="AB653" s="22"/>
      <c r="AC653" s="41"/>
      <c r="AD653" s="22"/>
      <c r="AE653" s="32"/>
      <c r="AF653" s="22"/>
      <c r="AG653" s="41"/>
      <c r="AH653" s="22"/>
      <c r="AI653" s="22">
        <f>IF(ISERROR(MODE(AI626:AI649)),"",MODE(AI626:AI649))</f>
        <v>194</v>
      </c>
      <c r="AJ653" s="42" t="str">
        <f>IF(ISERROR(MODE(AJ626:AJ649)),"",MODE(AJ626:AJ649))</f>
        <v/>
      </c>
      <c r="AK653" s="22"/>
      <c r="AL653" s="41"/>
      <c r="AM653" s="22"/>
      <c r="AN653" s="32"/>
      <c r="AO653" s="22"/>
      <c r="AP653" s="22"/>
      <c r="AQ653" s="32"/>
      <c r="AR653" s="22"/>
      <c r="AS653" s="22"/>
      <c r="AT653" s="22"/>
      <c r="AU653" s="22"/>
      <c r="AV653" s="42"/>
      <c r="AW653" s="22"/>
      <c r="AX653" s="331"/>
      <c r="AY653" s="42"/>
      <c r="AZ653" s="22"/>
      <c r="BA653" s="41"/>
      <c r="BB653" s="22"/>
      <c r="BC653" s="22"/>
      <c r="BD653" s="22"/>
      <c r="BE653" s="22"/>
      <c r="BF653" s="22"/>
      <c r="BG653" s="22"/>
      <c r="BH653" s="32"/>
      <c r="BI653" s="22"/>
      <c r="BJ653" s="341"/>
      <c r="BK653" s="341"/>
      <c r="BL653" s="306"/>
      <c r="BM653" s="42"/>
      <c r="BN653" s="22"/>
      <c r="BO653" s="41"/>
      <c r="BP653" s="42"/>
      <c r="BQ653" s="22"/>
      <c r="BR653" s="66"/>
      <c r="BS653" s="51"/>
      <c r="BT653" s="67"/>
      <c r="BU653" s="22"/>
      <c r="BV653" s="41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2"/>
      <c r="CP653" s="22"/>
      <c r="CQ653" s="22"/>
      <c r="CR653" s="22"/>
      <c r="CS653" s="22"/>
      <c r="CT653" s="22"/>
      <c r="CU653" s="22"/>
      <c r="CV653" s="22"/>
      <c r="CW653" s="22"/>
      <c r="CX653" s="22"/>
      <c r="CY653" s="22"/>
      <c r="CZ653" s="22"/>
      <c r="DA653" s="22"/>
      <c r="DB653" s="22"/>
      <c r="DC653" s="22"/>
      <c r="DD653" s="22"/>
      <c r="DE653" s="22"/>
      <c r="DF653" s="22"/>
      <c r="DG653" s="22"/>
      <c r="DH653" s="22"/>
      <c r="DI653" s="22"/>
      <c r="DJ653" s="22"/>
      <c r="DK653" s="22"/>
      <c r="DL653" s="22"/>
      <c r="DM653" s="22"/>
      <c r="DN653" s="22"/>
      <c r="DO653" s="22"/>
      <c r="DP653" s="22"/>
      <c r="DQ653" s="22"/>
      <c r="DR653" s="22"/>
      <c r="DS653" s="22"/>
      <c r="DT653" s="22"/>
      <c r="DU653" s="22"/>
      <c r="DV653" s="42"/>
      <c r="DW653" s="23"/>
    </row>
    <row r="654" spans="1:130" customFormat="1">
      <c r="A654" s="194" t="s">
        <v>182</v>
      </c>
      <c r="B654" s="194"/>
      <c r="C654" s="8">
        <f>COUNTA(C626:C649)</f>
        <v>24</v>
      </c>
      <c r="D654" s="10"/>
      <c r="E654" s="10"/>
      <c r="F654" s="10">
        <f>SUM(C650:F650)</f>
        <v>576</v>
      </c>
      <c r="G654" s="98">
        <f>G650/F654</f>
        <v>3.6458333333333336E-2</v>
      </c>
      <c r="H654" s="104">
        <f>H650/S650</f>
        <v>3.8365304420350292E-2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30"/>
      <c r="T654" s="10"/>
      <c r="U654" s="98">
        <f>U650/S650</f>
        <v>0.29024186822351961</v>
      </c>
      <c r="V654" s="98">
        <f>V650/S650</f>
        <v>0.23436196830692244</v>
      </c>
      <c r="W654" s="276">
        <f>W650/S650</f>
        <v>0</v>
      </c>
      <c r="X654" s="276">
        <f>X650/S650</f>
        <v>2.5020850708924102E-3</v>
      </c>
      <c r="Y654" s="10"/>
      <c r="Z654" s="8"/>
      <c r="AA654" s="10"/>
      <c r="AB654" s="10"/>
      <c r="AC654" s="8"/>
      <c r="AD654" s="10"/>
      <c r="AE654" s="30"/>
      <c r="AF654" s="10"/>
      <c r="AG654" s="8"/>
      <c r="AH654" s="10"/>
      <c r="AI654" s="10"/>
      <c r="AJ654" s="5"/>
      <c r="AK654" s="10"/>
      <c r="AL654" s="8"/>
      <c r="AM654" s="10"/>
      <c r="AN654" s="30"/>
      <c r="AO654" s="10"/>
      <c r="AP654" s="10"/>
      <c r="AQ654" s="30"/>
      <c r="AR654" s="10"/>
      <c r="AS654" s="10"/>
      <c r="AT654" s="10"/>
      <c r="AU654" s="10"/>
      <c r="AV654" s="5"/>
      <c r="AW654" s="10"/>
      <c r="AX654" s="326"/>
      <c r="AY654" s="5"/>
      <c r="AZ654" s="10"/>
      <c r="BA654" s="8"/>
      <c r="BB654" s="10"/>
      <c r="BC654" s="10"/>
      <c r="BD654" s="10"/>
      <c r="BE654" s="10"/>
      <c r="BF654" s="10"/>
      <c r="BG654" s="10"/>
      <c r="BH654" s="30"/>
      <c r="BI654" s="10"/>
      <c r="BJ654" s="338"/>
      <c r="BK654" s="338"/>
      <c r="BL654" s="303"/>
      <c r="BM654" s="5"/>
      <c r="BN654" s="10"/>
      <c r="BO654" s="8"/>
      <c r="BP654" s="5"/>
      <c r="BQ654" s="10"/>
      <c r="BR654" s="65"/>
      <c r="BS654" s="19"/>
      <c r="BT654" s="14"/>
      <c r="BU654" s="10"/>
      <c r="BV654" s="8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  <c r="DF654" s="10"/>
      <c r="DG654" s="10"/>
      <c r="DH654" s="10"/>
      <c r="DI654" s="10"/>
      <c r="DJ654" s="10"/>
      <c r="DK654" s="10"/>
      <c r="DL654" s="10"/>
      <c r="DM654" s="10"/>
      <c r="DN654" s="10"/>
      <c r="DO654" s="10"/>
      <c r="DP654" s="10"/>
      <c r="DQ654" s="10"/>
      <c r="DR654" s="10"/>
      <c r="DS654" s="10"/>
      <c r="DT654" s="10"/>
      <c r="DU654" s="10"/>
      <c r="DV654" s="5"/>
      <c r="DW654" s="10"/>
    </row>
    <row r="655" spans="1:130" customFormat="1">
      <c r="A655" s="194"/>
      <c r="B655" s="194"/>
      <c r="C655" s="8"/>
      <c r="D655" s="105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30"/>
      <c r="T655" s="10"/>
      <c r="U655" s="105"/>
      <c r="V655" s="105"/>
      <c r="W655" s="10"/>
      <c r="X655" s="5"/>
      <c r="Y655" s="10"/>
      <c r="Z655" s="8"/>
      <c r="AA655" s="10"/>
      <c r="AB655" s="10"/>
      <c r="AC655" s="8"/>
      <c r="AD655" s="10"/>
      <c r="AE655" s="30"/>
      <c r="AF655" s="10"/>
      <c r="AG655" s="8"/>
      <c r="AH655" s="10"/>
      <c r="AI655" s="10"/>
      <c r="AJ655" s="5"/>
      <c r="AK655" s="10"/>
      <c r="AL655" s="8"/>
      <c r="AM655" s="10"/>
      <c r="AN655" s="30"/>
      <c r="AO655" s="10"/>
      <c r="AP655" s="10"/>
      <c r="AQ655" s="30"/>
      <c r="AR655" s="10"/>
      <c r="AS655" s="10"/>
      <c r="AT655" s="10"/>
      <c r="AU655" s="10"/>
      <c r="AV655" s="5"/>
      <c r="AW655" s="10"/>
      <c r="AX655" s="326"/>
      <c r="AY655" s="5"/>
      <c r="AZ655" s="10"/>
      <c r="BA655" s="8"/>
      <c r="BB655" s="10"/>
      <c r="BC655" s="10"/>
      <c r="BD655" s="10"/>
      <c r="BE655" s="10"/>
      <c r="BF655" s="10"/>
      <c r="BG655" s="10"/>
      <c r="BH655" s="30"/>
      <c r="BI655" s="10"/>
      <c r="BJ655" s="338"/>
      <c r="BK655" s="338"/>
      <c r="BL655" s="303"/>
      <c r="BM655" s="5"/>
      <c r="BN655" s="10"/>
      <c r="BO655" s="8"/>
      <c r="BP655" s="5"/>
      <c r="BQ655" s="10"/>
      <c r="BR655" s="65"/>
      <c r="BS655" s="19"/>
      <c r="BT655" s="14"/>
      <c r="BU655" s="10"/>
      <c r="BV655" s="8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  <c r="DF655" s="10"/>
      <c r="DG655" s="10"/>
      <c r="DH655" s="10"/>
      <c r="DI655" s="10"/>
      <c r="DJ655" s="10"/>
      <c r="DK655" s="10"/>
      <c r="DL655" s="10"/>
      <c r="DM655" s="10"/>
      <c r="DN655" s="10"/>
      <c r="DO655" s="10"/>
      <c r="DP655" s="10"/>
      <c r="DQ655" s="10"/>
      <c r="DR655" s="10"/>
      <c r="DS655" s="10"/>
      <c r="DT655" s="10"/>
      <c r="DU655" s="10"/>
      <c r="DV655" s="5"/>
      <c r="DW655" s="10"/>
    </row>
    <row r="656" spans="1:130" customFormat="1" ht="12" thickBot="1">
      <c r="A656" s="194"/>
      <c r="B656" s="194"/>
      <c r="C656" s="8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30"/>
      <c r="T656" s="10"/>
      <c r="U656" s="10"/>
      <c r="V656" s="10"/>
      <c r="W656" s="10"/>
      <c r="X656" s="5"/>
      <c r="Y656" s="10"/>
      <c r="Z656" s="8"/>
      <c r="AA656" s="10"/>
      <c r="AB656" s="10"/>
      <c r="AC656" s="8"/>
      <c r="AD656" s="10"/>
      <c r="AE656" s="30"/>
      <c r="AF656" s="10"/>
      <c r="AG656" s="8"/>
      <c r="AH656" s="10"/>
      <c r="AI656" s="10"/>
      <c r="AJ656" s="5"/>
      <c r="AK656" s="10"/>
      <c r="AL656" s="8"/>
      <c r="AM656" s="10"/>
      <c r="AN656" s="30"/>
      <c r="AO656" s="10"/>
      <c r="AP656" s="10"/>
      <c r="AQ656" s="30"/>
      <c r="AR656" s="10"/>
      <c r="AS656" s="10"/>
      <c r="AT656" s="10"/>
      <c r="AU656" s="10"/>
      <c r="AV656" s="5"/>
      <c r="AW656" s="10"/>
      <c r="AX656" s="326"/>
      <c r="AY656" s="5"/>
      <c r="AZ656" s="10"/>
      <c r="BA656" s="8"/>
      <c r="BB656" s="10"/>
      <c r="BC656" s="10"/>
      <c r="BD656" s="10"/>
      <c r="BE656" s="10"/>
      <c r="BF656" s="10"/>
      <c r="BG656" s="10"/>
      <c r="BH656" s="30"/>
      <c r="BI656" s="10"/>
      <c r="BJ656" s="338"/>
      <c r="BK656" s="338"/>
      <c r="BL656" s="303"/>
      <c r="BM656" s="5"/>
      <c r="BN656" s="10"/>
      <c r="BO656" s="8"/>
      <c r="BP656" s="5"/>
      <c r="BQ656" s="10"/>
      <c r="BR656" s="65"/>
      <c r="BS656" s="19"/>
      <c r="BT656" s="14"/>
      <c r="BU656" s="10"/>
      <c r="BV656" s="8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  <c r="DF656" s="10"/>
      <c r="DG656" s="10"/>
      <c r="DH656" s="10"/>
      <c r="DI656" s="10"/>
      <c r="DJ656" s="10"/>
      <c r="DK656" s="10"/>
      <c r="DL656" s="10"/>
      <c r="DM656" s="10"/>
      <c r="DN656" s="10"/>
      <c r="DO656" s="10"/>
      <c r="DP656" s="10"/>
      <c r="DQ656" s="10"/>
      <c r="DR656" s="10"/>
      <c r="DS656" s="10"/>
      <c r="DT656" s="10"/>
      <c r="DU656" s="10"/>
      <c r="DV656" s="5"/>
      <c r="DW656" s="10"/>
    </row>
    <row r="657" spans="1:130" customFormat="1">
      <c r="A657" s="208">
        <v>39995</v>
      </c>
      <c r="B657" s="209"/>
      <c r="C657" s="36">
        <v>4</v>
      </c>
      <c r="D657" s="9">
        <v>24</v>
      </c>
      <c r="E657" s="9">
        <v>0</v>
      </c>
      <c r="F657" s="9">
        <v>0</v>
      </c>
      <c r="G657" s="9">
        <v>1</v>
      </c>
      <c r="H657" s="9">
        <v>0</v>
      </c>
      <c r="I657" s="9">
        <v>0</v>
      </c>
      <c r="J657" s="9">
        <v>5</v>
      </c>
      <c r="K657" s="9">
        <v>0</v>
      </c>
      <c r="L657" s="9">
        <v>0</v>
      </c>
      <c r="M657" s="9">
        <v>0</v>
      </c>
      <c r="N657" s="9">
        <v>0</v>
      </c>
      <c r="O657" s="9">
        <v>3</v>
      </c>
      <c r="P657" s="9">
        <v>0</v>
      </c>
      <c r="Q657" s="9">
        <v>0</v>
      </c>
      <c r="R657" s="9">
        <v>0</v>
      </c>
      <c r="S657" s="33">
        <f>SUM(C657:R657)</f>
        <v>37</v>
      </c>
      <c r="T657" s="9"/>
      <c r="U657" s="9">
        <v>16</v>
      </c>
      <c r="V657" s="9">
        <v>8</v>
      </c>
      <c r="W657" s="9">
        <v>0</v>
      </c>
      <c r="X657" s="37">
        <v>0</v>
      </c>
      <c r="Y657" s="9"/>
      <c r="Z657" s="91">
        <v>2533376</v>
      </c>
      <c r="AA657" s="99"/>
      <c r="AB657" s="99"/>
      <c r="AC657" s="91">
        <v>522850</v>
      </c>
      <c r="AD657" s="9"/>
      <c r="AE657" s="33">
        <f t="shared" ref="AE657:AE680" si="318">SUM(AC657:AD657)</f>
        <v>522850</v>
      </c>
      <c r="AF657" s="9"/>
      <c r="AG657" s="91">
        <v>85</v>
      </c>
      <c r="AH657" s="92">
        <v>62</v>
      </c>
      <c r="AI657" s="92">
        <v>158</v>
      </c>
      <c r="AJ657" s="93"/>
      <c r="AK657" s="9"/>
      <c r="AL657" s="36">
        <v>0</v>
      </c>
      <c r="AM657" s="9">
        <v>36</v>
      </c>
      <c r="AN657" s="33">
        <f>SUM(AL657:AM657)</f>
        <v>36</v>
      </c>
      <c r="AO657" s="280"/>
      <c r="AP657" s="280"/>
      <c r="AQ657" s="282"/>
      <c r="AR657" s="92">
        <v>137</v>
      </c>
      <c r="AS657" s="92">
        <v>87</v>
      </c>
      <c r="AT657" s="92">
        <v>140</v>
      </c>
      <c r="AU657" s="92">
        <v>17</v>
      </c>
      <c r="AV657" s="93">
        <v>292</v>
      </c>
      <c r="AW657" s="9"/>
      <c r="AX657" s="325">
        <v>39994</v>
      </c>
      <c r="AY657" s="37">
        <v>-1</v>
      </c>
      <c r="AZ657" s="9"/>
      <c r="BA657" s="36">
        <v>1942</v>
      </c>
      <c r="BB657" s="9">
        <v>60002133</v>
      </c>
      <c r="BC657" s="92"/>
      <c r="BD657" s="92"/>
      <c r="BE657" s="92">
        <v>82</v>
      </c>
      <c r="BF657" s="92">
        <v>8</v>
      </c>
      <c r="BG657" s="92">
        <v>4</v>
      </c>
      <c r="BH657" s="352"/>
      <c r="BI657" s="9">
        <v>3708284</v>
      </c>
      <c r="BJ657" s="337">
        <v>40004</v>
      </c>
      <c r="BK657" s="337">
        <v>40112</v>
      </c>
      <c r="BL657" s="319">
        <f>BK657-BJ657</f>
        <v>108</v>
      </c>
      <c r="BM657" s="93"/>
      <c r="BN657" s="9"/>
      <c r="BO657" s="36"/>
      <c r="BP657" s="37">
        <v>165</v>
      </c>
      <c r="BQ657" s="9"/>
      <c r="BR657" s="74">
        <v>2010</v>
      </c>
      <c r="BS657" s="75">
        <v>2009</v>
      </c>
      <c r="BT657" s="13">
        <v>13</v>
      </c>
      <c r="BU657" s="9"/>
      <c r="BV657" s="36">
        <v>0</v>
      </c>
      <c r="BW657" s="9">
        <v>0</v>
      </c>
      <c r="BX657" s="9">
        <v>0</v>
      </c>
      <c r="BY657" s="9">
        <v>0</v>
      </c>
      <c r="BZ657" s="9">
        <v>0</v>
      </c>
      <c r="CA657" s="9">
        <v>0</v>
      </c>
      <c r="CB657" s="9">
        <v>0</v>
      </c>
      <c r="CC657" s="223"/>
      <c r="CD657" s="9">
        <v>11</v>
      </c>
      <c r="CE657" s="9">
        <v>0</v>
      </c>
      <c r="CF657" s="220">
        <v>0</v>
      </c>
      <c r="CG657" s="9">
        <v>0</v>
      </c>
      <c r="CH657" s="9">
        <v>0</v>
      </c>
      <c r="CI657" s="9">
        <v>9</v>
      </c>
      <c r="CJ657" s="9">
        <v>1</v>
      </c>
      <c r="CK657" s="9"/>
      <c r="CL657" s="9">
        <v>0</v>
      </c>
      <c r="CM657" s="9">
        <v>0</v>
      </c>
      <c r="CN657" s="9">
        <v>0</v>
      </c>
      <c r="CO657" s="9">
        <v>1</v>
      </c>
      <c r="CP657" s="220"/>
      <c r="CQ657" s="9">
        <v>0</v>
      </c>
      <c r="CR657" s="9"/>
      <c r="CS657" s="9">
        <v>2</v>
      </c>
      <c r="CT657" s="9">
        <v>1</v>
      </c>
      <c r="CU657" s="222">
        <v>0</v>
      </c>
      <c r="CV657" s="9">
        <v>3</v>
      </c>
      <c r="CW657" s="9">
        <v>0</v>
      </c>
      <c r="CX657" s="9">
        <v>0</v>
      </c>
      <c r="CY657" s="9">
        <v>0</v>
      </c>
      <c r="CZ657" s="9">
        <v>0</v>
      </c>
      <c r="DA657" s="9">
        <v>0</v>
      </c>
      <c r="DB657" s="9">
        <v>4</v>
      </c>
      <c r="DC657" s="9">
        <v>0</v>
      </c>
      <c r="DD657" s="9">
        <v>0</v>
      </c>
      <c r="DE657" s="9">
        <v>0</v>
      </c>
      <c r="DF657" s="9">
        <v>0</v>
      </c>
      <c r="DG657" s="9">
        <v>0</v>
      </c>
      <c r="DH657" s="9">
        <v>0</v>
      </c>
      <c r="DI657" s="9">
        <v>1</v>
      </c>
      <c r="DJ657" s="9">
        <v>0</v>
      </c>
      <c r="DK657" s="9">
        <v>0</v>
      </c>
      <c r="DL657" s="9">
        <v>0</v>
      </c>
      <c r="DM657" s="9">
        <v>0</v>
      </c>
      <c r="DN657" s="9">
        <v>3</v>
      </c>
      <c r="DO657" s="9">
        <v>1</v>
      </c>
      <c r="DP657" s="9">
        <v>0</v>
      </c>
      <c r="DQ657" s="9">
        <v>0</v>
      </c>
      <c r="DR657" s="9"/>
      <c r="DS657" s="9">
        <v>0</v>
      </c>
      <c r="DT657" s="9">
        <v>0</v>
      </c>
      <c r="DU657" s="9">
        <v>0</v>
      </c>
      <c r="DV657" s="44">
        <f>SUM(BV657:DU657)</f>
        <v>37</v>
      </c>
      <c r="DW657" s="13" t="str">
        <f t="shared" ref="DW657:DW680" si="319">IF(DV657=S657,"","PROB")</f>
        <v/>
      </c>
      <c r="DY657">
        <f>S657</f>
        <v>37</v>
      </c>
    </row>
    <row r="658" spans="1:130" customFormat="1">
      <c r="A658" s="210">
        <v>40009</v>
      </c>
      <c r="B658" s="211"/>
      <c r="C658" s="8">
        <v>4</v>
      </c>
      <c r="D658" s="10">
        <v>18</v>
      </c>
      <c r="E658" s="10">
        <v>0</v>
      </c>
      <c r="F658" s="59">
        <v>1</v>
      </c>
      <c r="G658" s="59">
        <v>0</v>
      </c>
      <c r="H658" s="59">
        <v>7</v>
      </c>
      <c r="I658" s="59">
        <v>0</v>
      </c>
      <c r="J658" s="59">
        <v>5</v>
      </c>
      <c r="K658" s="59">
        <v>6</v>
      </c>
      <c r="L658" s="59">
        <v>0</v>
      </c>
      <c r="M658" s="59">
        <v>0</v>
      </c>
      <c r="N658" s="59">
        <v>0</v>
      </c>
      <c r="O658" s="59">
        <v>3</v>
      </c>
      <c r="P658" s="59">
        <v>1</v>
      </c>
      <c r="Q658" s="59">
        <v>0</v>
      </c>
      <c r="R658" s="59">
        <v>0</v>
      </c>
      <c r="S658" s="35">
        <f>SUM(C658:R658)</f>
        <v>45</v>
      </c>
      <c r="T658" s="59"/>
      <c r="U658" s="59">
        <v>15</v>
      </c>
      <c r="V658" s="59">
        <v>13</v>
      </c>
      <c r="W658" s="59">
        <v>0</v>
      </c>
      <c r="X658" s="5">
        <v>0</v>
      </c>
      <c r="Y658" s="10"/>
      <c r="Z658" s="61">
        <v>2358272</v>
      </c>
      <c r="AA658" s="219"/>
      <c r="AB658" s="219"/>
      <c r="AC658" s="61">
        <v>650931</v>
      </c>
      <c r="AD658" s="59"/>
      <c r="AE658" s="35">
        <f t="shared" si="318"/>
        <v>650931</v>
      </c>
      <c r="AF658" s="10"/>
      <c r="AG658" s="61">
        <v>82</v>
      </c>
      <c r="AH658" s="59">
        <v>65</v>
      </c>
      <c r="AI658" s="59">
        <v>162</v>
      </c>
      <c r="AJ658" s="62"/>
      <c r="AK658" s="10"/>
      <c r="AL658" s="8"/>
      <c r="AM658" s="10"/>
      <c r="AN658" s="35"/>
      <c r="AO658" s="279"/>
      <c r="AP658" s="279"/>
      <c r="AQ658" s="281"/>
      <c r="AR658" s="59">
        <v>137</v>
      </c>
      <c r="AS658" s="59">
        <v>87</v>
      </c>
      <c r="AT658" s="59">
        <v>141</v>
      </c>
      <c r="AU658" s="59">
        <v>17</v>
      </c>
      <c r="AV658" s="62">
        <v>293</v>
      </c>
      <c r="AW658" s="10"/>
      <c r="AX658" s="326">
        <v>40008</v>
      </c>
      <c r="AY658" s="5">
        <v>-1</v>
      </c>
      <c r="AZ658" s="10"/>
      <c r="BA658" s="61"/>
      <c r="BB658" s="59"/>
      <c r="BC658" s="59"/>
      <c r="BD658" s="59"/>
      <c r="BE658" s="59"/>
      <c r="BF658" s="59"/>
      <c r="BG658" s="59"/>
      <c r="BH658" s="351"/>
      <c r="BI658" s="59"/>
      <c r="BJ658" s="342"/>
      <c r="BK658" s="342"/>
      <c r="BL658" s="320"/>
      <c r="BM658" s="62"/>
      <c r="BN658" s="10"/>
      <c r="BO658" s="8"/>
      <c r="BP658" s="62"/>
      <c r="BQ658" s="10"/>
      <c r="BR658" s="29">
        <v>2010</v>
      </c>
      <c r="BS658" s="64">
        <v>2009</v>
      </c>
      <c r="BT658" s="14">
        <v>14</v>
      </c>
      <c r="BU658" s="10"/>
      <c r="BV658" s="8">
        <v>8</v>
      </c>
      <c r="BW658" s="10">
        <v>2</v>
      </c>
      <c r="BX658" s="59">
        <v>0</v>
      </c>
      <c r="BY658" s="59">
        <v>0</v>
      </c>
      <c r="BZ658" s="59">
        <v>0</v>
      </c>
      <c r="CA658" s="59">
        <v>2</v>
      </c>
      <c r="CB658" s="59">
        <v>0</v>
      </c>
      <c r="CC658" s="221"/>
      <c r="CD658" s="59">
        <v>8</v>
      </c>
      <c r="CE658" s="59">
        <v>0</v>
      </c>
      <c r="CF658" s="221">
        <v>0</v>
      </c>
      <c r="CG658" s="59">
        <v>0</v>
      </c>
      <c r="CH658" s="59">
        <v>0</v>
      </c>
      <c r="CI658" s="59">
        <v>0</v>
      </c>
      <c r="CJ658" s="59">
        <v>1</v>
      </c>
      <c r="CK658" s="59"/>
      <c r="CL658" s="59">
        <v>0</v>
      </c>
      <c r="CM658" s="59">
        <v>0</v>
      </c>
      <c r="CN658" s="59">
        <v>0</v>
      </c>
      <c r="CO658" s="59">
        <v>13</v>
      </c>
      <c r="CP658" s="317"/>
      <c r="CQ658" s="59">
        <v>0</v>
      </c>
      <c r="CR658" s="59"/>
      <c r="CS658" s="59">
        <v>0</v>
      </c>
      <c r="CT658" s="59">
        <v>2</v>
      </c>
      <c r="CU658" s="222">
        <v>0</v>
      </c>
      <c r="CV658" s="59">
        <v>3</v>
      </c>
      <c r="CW658" s="59">
        <v>0</v>
      </c>
      <c r="CX658" s="59">
        <v>0</v>
      </c>
      <c r="CY658" s="59">
        <v>1</v>
      </c>
      <c r="CZ658" s="59">
        <v>0</v>
      </c>
      <c r="DA658" s="59">
        <v>0</v>
      </c>
      <c r="DB658" s="59">
        <v>0</v>
      </c>
      <c r="DC658" s="59">
        <v>0</v>
      </c>
      <c r="DD658" s="59">
        <v>0</v>
      </c>
      <c r="DE658" s="59">
        <v>0</v>
      </c>
      <c r="DF658" s="59">
        <v>0</v>
      </c>
      <c r="DG658" s="59">
        <v>1</v>
      </c>
      <c r="DH658" s="59">
        <v>0</v>
      </c>
      <c r="DI658" s="59">
        <v>0</v>
      </c>
      <c r="DJ658" s="59">
        <v>0</v>
      </c>
      <c r="DK658" s="59">
        <v>0</v>
      </c>
      <c r="DL658">
        <v>0</v>
      </c>
      <c r="DM658" s="59">
        <v>0</v>
      </c>
      <c r="DN658" s="59">
        <v>0</v>
      </c>
      <c r="DO658" s="59">
        <v>1</v>
      </c>
      <c r="DP658" s="59">
        <v>0</v>
      </c>
      <c r="DQ658" s="59">
        <v>0</v>
      </c>
      <c r="DR658" s="59"/>
      <c r="DS658" s="59">
        <v>3</v>
      </c>
      <c r="DT658" s="59">
        <v>0</v>
      </c>
      <c r="DU658" s="59">
        <v>0</v>
      </c>
      <c r="DV658" s="38">
        <f t="shared" ref="DV658:DV681" si="320">SUM(BV658:DU658)</f>
        <v>45</v>
      </c>
      <c r="DW658" s="14" t="str">
        <f t="shared" si="319"/>
        <v/>
      </c>
      <c r="DY658">
        <f>S658</f>
        <v>45</v>
      </c>
    </row>
    <row r="659" spans="1:130" customFormat="1">
      <c r="A659" s="210">
        <v>40026</v>
      </c>
      <c r="B659" s="211"/>
      <c r="C659" s="8">
        <v>3</v>
      </c>
      <c r="D659" s="10">
        <v>26</v>
      </c>
      <c r="E659" s="10">
        <v>5</v>
      </c>
      <c r="F659" s="59">
        <v>0</v>
      </c>
      <c r="G659" s="59">
        <v>0</v>
      </c>
      <c r="H659" s="59">
        <v>0</v>
      </c>
      <c r="I659" s="59">
        <v>0</v>
      </c>
      <c r="J659" s="59">
        <v>5</v>
      </c>
      <c r="K659" s="59">
        <v>0</v>
      </c>
      <c r="L659" s="59">
        <v>0</v>
      </c>
      <c r="M659" s="59">
        <v>0</v>
      </c>
      <c r="N659" s="59">
        <v>0</v>
      </c>
      <c r="O659" s="59">
        <v>7</v>
      </c>
      <c r="P659" s="59">
        <v>1</v>
      </c>
      <c r="Q659" s="59">
        <v>0</v>
      </c>
      <c r="R659" s="59">
        <v>0</v>
      </c>
      <c r="S659" s="35">
        <f>SUM(C659:R659)</f>
        <v>47</v>
      </c>
      <c r="T659" s="59"/>
      <c r="U659" s="59">
        <v>9</v>
      </c>
      <c r="V659" s="59">
        <v>9</v>
      </c>
      <c r="W659" s="59">
        <v>0</v>
      </c>
      <c r="X659" s="5">
        <v>0</v>
      </c>
      <c r="Y659" s="10"/>
      <c r="Z659" s="61">
        <v>3019264</v>
      </c>
      <c r="AA659" s="100"/>
      <c r="AB659" s="100"/>
      <c r="AC659" s="61">
        <v>1227433</v>
      </c>
      <c r="AD659" s="59"/>
      <c r="AE659" s="35">
        <f t="shared" si="318"/>
        <v>1227433</v>
      </c>
      <c r="AF659" s="10"/>
      <c r="AG659" s="61">
        <v>121</v>
      </c>
      <c r="AH659" s="59">
        <v>67</v>
      </c>
      <c r="AI659" s="59">
        <v>200</v>
      </c>
      <c r="AJ659" s="62"/>
      <c r="AK659" s="10"/>
      <c r="AL659" s="8"/>
      <c r="AM659" s="10"/>
      <c r="AN659" s="35"/>
      <c r="AO659" s="279"/>
      <c r="AP659" s="279"/>
      <c r="AQ659" s="281"/>
      <c r="AR659" s="59">
        <v>138</v>
      </c>
      <c r="AS659" s="59">
        <v>88</v>
      </c>
      <c r="AT659" s="59">
        <v>143</v>
      </c>
      <c r="AU659" s="59">
        <v>17</v>
      </c>
      <c r="AV659" s="62">
        <v>296</v>
      </c>
      <c r="AW659" s="10"/>
      <c r="AX659" s="326">
        <v>40024</v>
      </c>
      <c r="AY659" s="5">
        <v>-2</v>
      </c>
      <c r="AZ659" s="10"/>
      <c r="BA659" s="61">
        <v>1942</v>
      </c>
      <c r="BB659" s="59">
        <v>60162998</v>
      </c>
      <c r="BC659" s="59"/>
      <c r="BD659" s="59"/>
      <c r="BE659" s="59">
        <v>41</v>
      </c>
      <c r="BF659" s="59">
        <v>2</v>
      </c>
      <c r="BG659" s="59">
        <v>2</v>
      </c>
      <c r="BH659" s="30">
        <f>SUM(BE659:BG659)</f>
        <v>45</v>
      </c>
      <c r="BI659" s="59">
        <v>2071052</v>
      </c>
      <c r="BJ659" s="342">
        <v>40035</v>
      </c>
      <c r="BK659" s="342">
        <v>40126</v>
      </c>
      <c r="BL659" s="320">
        <f>BK659-BJ659</f>
        <v>91</v>
      </c>
      <c r="BM659" s="62"/>
      <c r="BN659" s="10"/>
      <c r="BO659" s="8"/>
      <c r="BP659" s="62">
        <v>165</v>
      </c>
      <c r="BQ659" s="10"/>
      <c r="BR659" s="29">
        <v>2010</v>
      </c>
      <c r="BS659" s="64">
        <v>2009</v>
      </c>
      <c r="BT659" s="14">
        <v>15</v>
      </c>
      <c r="BU659" s="10"/>
      <c r="BV659" s="8">
        <v>0</v>
      </c>
      <c r="BW659" s="10">
        <v>4</v>
      </c>
      <c r="BX659" s="59">
        <v>0</v>
      </c>
      <c r="BY659" s="59">
        <v>0</v>
      </c>
      <c r="BZ659" s="59">
        <v>0</v>
      </c>
      <c r="CA659" s="59">
        <v>0</v>
      </c>
      <c r="CB659" s="59">
        <v>0</v>
      </c>
      <c r="CC659" s="221"/>
      <c r="CD659" s="59">
        <v>2</v>
      </c>
      <c r="CE659" s="59">
        <v>0</v>
      </c>
      <c r="CF659" s="221">
        <v>0</v>
      </c>
      <c r="CG659" s="59">
        <v>0</v>
      </c>
      <c r="CH659" s="59">
        <v>0</v>
      </c>
      <c r="CI659" s="59">
        <v>0</v>
      </c>
      <c r="CJ659" s="59">
        <v>12</v>
      </c>
      <c r="CK659" s="59"/>
      <c r="CL659" s="59">
        <v>0</v>
      </c>
      <c r="CM659" s="59">
        <v>0</v>
      </c>
      <c r="CN659" s="59">
        <v>0</v>
      </c>
      <c r="CO659" s="59">
        <v>1</v>
      </c>
      <c r="CP659" s="317"/>
      <c r="CQ659" s="59">
        <v>0</v>
      </c>
      <c r="CR659" s="59"/>
      <c r="CS659" s="59">
        <v>0</v>
      </c>
      <c r="CT659" s="59">
        <v>0</v>
      </c>
      <c r="CU659" s="222">
        <v>0</v>
      </c>
      <c r="CV659" s="59">
        <v>5</v>
      </c>
      <c r="CW659" s="59">
        <v>0</v>
      </c>
      <c r="CX659" s="59">
        <v>0</v>
      </c>
      <c r="CY659" s="59">
        <v>0</v>
      </c>
      <c r="CZ659" s="59">
        <v>0</v>
      </c>
      <c r="DA659" s="59">
        <v>0</v>
      </c>
      <c r="DB659" s="59">
        <v>0</v>
      </c>
      <c r="DC659" s="59">
        <v>0</v>
      </c>
      <c r="DD659" s="59">
        <v>0</v>
      </c>
      <c r="DE659" s="59">
        <v>0</v>
      </c>
      <c r="DF659" s="59">
        <v>0</v>
      </c>
      <c r="DG659" s="59">
        <v>0</v>
      </c>
      <c r="DH659" s="59">
        <v>0</v>
      </c>
      <c r="DI659" s="59">
        <v>0</v>
      </c>
      <c r="DJ659" s="59">
        <v>0</v>
      </c>
      <c r="DK659" s="59">
        <v>0</v>
      </c>
      <c r="DL659">
        <v>0</v>
      </c>
      <c r="DM659" s="59">
        <v>14</v>
      </c>
      <c r="DN659" s="59">
        <v>0</v>
      </c>
      <c r="DO659" s="59">
        <v>5</v>
      </c>
      <c r="DP659" s="59">
        <v>0</v>
      </c>
      <c r="DQ659" s="59">
        <v>0</v>
      </c>
      <c r="DR659" s="59"/>
      <c r="DS659" s="59">
        <v>4</v>
      </c>
      <c r="DT659" s="59">
        <v>0</v>
      </c>
      <c r="DU659" s="59">
        <v>0</v>
      </c>
      <c r="DV659" s="38">
        <f t="shared" si="320"/>
        <v>47</v>
      </c>
      <c r="DW659" s="14" t="str">
        <f t="shared" si="319"/>
        <v/>
      </c>
      <c r="DY659">
        <f>S659</f>
        <v>47</v>
      </c>
    </row>
    <row r="660" spans="1:130" customFormat="1">
      <c r="A660" s="210">
        <v>40040</v>
      </c>
      <c r="B660" s="211"/>
      <c r="C660" s="61">
        <v>3</v>
      </c>
      <c r="D660" s="59">
        <v>16</v>
      </c>
      <c r="E660" s="59">
        <v>0</v>
      </c>
      <c r="F660" s="59">
        <v>0</v>
      </c>
      <c r="G660" s="59">
        <v>0</v>
      </c>
      <c r="H660" s="59">
        <v>1</v>
      </c>
      <c r="I660" s="59">
        <v>0</v>
      </c>
      <c r="J660" s="59">
        <v>13</v>
      </c>
      <c r="K660" s="59">
        <v>0</v>
      </c>
      <c r="L660" s="59">
        <v>0</v>
      </c>
      <c r="M660" s="59">
        <v>0</v>
      </c>
      <c r="N660" s="59">
        <v>0</v>
      </c>
      <c r="O660" s="59">
        <v>4</v>
      </c>
      <c r="P660" s="59">
        <v>1</v>
      </c>
      <c r="Q660" s="59">
        <v>0</v>
      </c>
      <c r="R660" s="59">
        <v>0</v>
      </c>
      <c r="S660" s="35">
        <f>SUM(C660:R660)</f>
        <v>38</v>
      </c>
      <c r="T660" s="59"/>
      <c r="U660" s="59">
        <v>14</v>
      </c>
      <c r="V660" s="59">
        <v>10</v>
      </c>
      <c r="W660" s="59">
        <v>0</v>
      </c>
      <c r="X660" s="62">
        <v>0</v>
      </c>
      <c r="Y660" s="59"/>
      <c r="Z660" s="61">
        <v>26000</v>
      </c>
      <c r="AA660" s="101"/>
      <c r="AB660" s="101"/>
      <c r="AC660" s="61">
        <v>442383</v>
      </c>
      <c r="AD660" s="59"/>
      <c r="AE660" s="35">
        <f t="shared" si="318"/>
        <v>442383</v>
      </c>
      <c r="AF660" s="10"/>
      <c r="AG660" s="61">
        <v>76</v>
      </c>
      <c r="AH660" s="59">
        <v>1</v>
      </c>
      <c r="AI660" s="59">
        <v>88</v>
      </c>
      <c r="AJ660" s="62"/>
      <c r="AK660" s="10"/>
      <c r="AL660" s="8"/>
      <c r="AM660" s="10"/>
      <c r="AN660" s="35"/>
      <c r="AO660" s="279"/>
      <c r="AP660" s="279"/>
      <c r="AQ660" s="281"/>
      <c r="AR660" s="59">
        <v>138</v>
      </c>
      <c r="AS660" s="59">
        <v>89</v>
      </c>
      <c r="AT660" s="59">
        <v>140</v>
      </c>
      <c r="AU660" s="59">
        <v>17</v>
      </c>
      <c r="AV660" s="62">
        <v>294</v>
      </c>
      <c r="AW660" s="10"/>
      <c r="AX660" s="326">
        <v>40039</v>
      </c>
      <c r="AY660" s="5">
        <v>-1</v>
      </c>
      <c r="AZ660" s="10"/>
      <c r="BA660" s="61"/>
      <c r="BB660" s="59"/>
      <c r="BC660" s="59"/>
      <c r="BD660" s="59"/>
      <c r="BE660" s="59"/>
      <c r="BF660" s="59"/>
      <c r="BG660" s="59"/>
      <c r="BH660" s="351"/>
      <c r="BI660" s="59"/>
      <c r="BJ660" s="342"/>
      <c r="BK660" s="342"/>
      <c r="BL660" s="320"/>
      <c r="BM660" s="62"/>
      <c r="BN660" s="10"/>
      <c r="BO660" s="8"/>
      <c r="BP660" s="62"/>
      <c r="BQ660" s="10"/>
      <c r="BR660" s="29">
        <v>2010</v>
      </c>
      <c r="BS660" s="64">
        <v>2009</v>
      </c>
      <c r="BT660" s="14">
        <v>16</v>
      </c>
      <c r="BU660" s="10"/>
      <c r="BV660" s="8">
        <v>2</v>
      </c>
      <c r="BW660" s="59">
        <v>0</v>
      </c>
      <c r="BX660" s="59">
        <v>0</v>
      </c>
      <c r="BY660" s="59">
        <v>0</v>
      </c>
      <c r="BZ660" s="59">
        <v>0</v>
      </c>
      <c r="CA660" s="59">
        <v>0</v>
      </c>
      <c r="CB660" s="59">
        <v>0</v>
      </c>
      <c r="CC660" s="221"/>
      <c r="CD660" s="59">
        <v>3</v>
      </c>
      <c r="CE660" s="59">
        <v>0</v>
      </c>
      <c r="CF660" s="221">
        <v>0</v>
      </c>
      <c r="CG660" s="59">
        <v>0</v>
      </c>
      <c r="CH660" s="59">
        <v>0</v>
      </c>
      <c r="CI660" s="59">
        <v>5</v>
      </c>
      <c r="CJ660" s="59">
        <v>0</v>
      </c>
      <c r="CK660" s="59"/>
      <c r="CL660" s="59">
        <v>0</v>
      </c>
      <c r="CM660" s="59">
        <v>0</v>
      </c>
      <c r="CN660" s="59">
        <v>0</v>
      </c>
      <c r="CO660" s="59">
        <v>15</v>
      </c>
      <c r="CP660" s="317"/>
      <c r="CQ660" s="59">
        <v>0</v>
      </c>
      <c r="CR660" s="59"/>
      <c r="CS660" s="59">
        <v>0</v>
      </c>
      <c r="CT660" s="59">
        <v>1</v>
      </c>
      <c r="CU660" s="222">
        <v>0</v>
      </c>
      <c r="CV660" s="59">
        <v>2</v>
      </c>
      <c r="CW660" s="59">
        <v>0</v>
      </c>
      <c r="CX660" s="59">
        <v>0</v>
      </c>
      <c r="CY660" s="59">
        <v>0</v>
      </c>
      <c r="CZ660" s="59">
        <v>0</v>
      </c>
      <c r="DA660" s="59">
        <v>0</v>
      </c>
      <c r="DB660" s="59">
        <v>1</v>
      </c>
      <c r="DC660" s="59">
        <v>0</v>
      </c>
      <c r="DD660" s="59">
        <v>0</v>
      </c>
      <c r="DE660" s="59">
        <v>0</v>
      </c>
      <c r="DF660" s="59">
        <v>0</v>
      </c>
      <c r="DG660" s="59">
        <v>1</v>
      </c>
      <c r="DH660" s="59">
        <v>3</v>
      </c>
      <c r="DI660" s="59">
        <v>0</v>
      </c>
      <c r="DJ660" s="59">
        <v>0</v>
      </c>
      <c r="DK660" s="59">
        <v>0</v>
      </c>
      <c r="DL660">
        <v>0</v>
      </c>
      <c r="DM660" s="59">
        <v>1</v>
      </c>
      <c r="DN660" s="59">
        <v>0</v>
      </c>
      <c r="DO660" s="59">
        <v>1</v>
      </c>
      <c r="DP660" s="59">
        <v>0</v>
      </c>
      <c r="DQ660" s="59">
        <v>0</v>
      </c>
      <c r="DR660" s="59"/>
      <c r="DS660" s="59">
        <v>3</v>
      </c>
      <c r="DT660" s="59">
        <v>0</v>
      </c>
      <c r="DU660" s="59">
        <v>0</v>
      </c>
      <c r="DV660" s="38">
        <f t="shared" si="320"/>
        <v>38</v>
      </c>
      <c r="DW660" s="14" t="str">
        <f t="shared" si="319"/>
        <v/>
      </c>
      <c r="DY660">
        <f>S660</f>
        <v>38</v>
      </c>
    </row>
    <row r="661" spans="1:130" customFormat="1">
      <c r="A661" s="210">
        <v>40057</v>
      </c>
      <c r="B661" s="211"/>
      <c r="C661" s="61">
        <v>1</v>
      </c>
      <c r="D661" s="59">
        <v>7</v>
      </c>
      <c r="E661" s="59">
        <v>0</v>
      </c>
      <c r="F661" s="59">
        <v>1</v>
      </c>
      <c r="G661" s="59">
        <v>2</v>
      </c>
      <c r="H661" s="59">
        <v>0</v>
      </c>
      <c r="I661" s="59">
        <v>0</v>
      </c>
      <c r="J661" s="59">
        <v>1</v>
      </c>
      <c r="K661" s="59">
        <v>0</v>
      </c>
      <c r="L661" s="59">
        <v>0</v>
      </c>
      <c r="M661" s="59">
        <v>0</v>
      </c>
      <c r="N661" s="59">
        <v>0</v>
      </c>
      <c r="O661" s="59">
        <v>9</v>
      </c>
      <c r="P661" s="59">
        <v>2</v>
      </c>
      <c r="Q661" s="59">
        <v>0</v>
      </c>
      <c r="R661" s="59">
        <v>0</v>
      </c>
      <c r="S661" s="35">
        <f>SUM(C661:R661)</f>
        <v>23</v>
      </c>
      <c r="T661" s="59"/>
      <c r="U661" s="59">
        <v>3</v>
      </c>
      <c r="V661" s="59">
        <v>3</v>
      </c>
      <c r="W661" s="59">
        <v>0</v>
      </c>
      <c r="X661" s="62">
        <v>1</v>
      </c>
      <c r="Y661" s="59"/>
      <c r="Z661" s="61">
        <v>112000</v>
      </c>
      <c r="AA661" s="101"/>
      <c r="AB661" s="101"/>
      <c r="AC661" s="61">
        <v>574537</v>
      </c>
      <c r="AD661" s="59"/>
      <c r="AE661" s="35">
        <f t="shared" si="318"/>
        <v>574537</v>
      </c>
      <c r="AF661" s="10"/>
      <c r="AG661" s="61">
        <v>51</v>
      </c>
      <c r="AH661" s="59">
        <v>1</v>
      </c>
      <c r="AI661" s="59">
        <v>70</v>
      </c>
      <c r="AJ661" s="62"/>
      <c r="AK661" s="10"/>
      <c r="AL661" s="8"/>
      <c r="AM661" s="10"/>
      <c r="AN661" s="35"/>
      <c r="AO661" s="279"/>
      <c r="AP661" s="279"/>
      <c r="AQ661" s="281"/>
      <c r="AR661" s="59">
        <v>137</v>
      </c>
      <c r="AS661" s="59">
        <v>91</v>
      </c>
      <c r="AT661" s="59">
        <v>140</v>
      </c>
      <c r="AU661" s="59">
        <v>17</v>
      </c>
      <c r="AV661" s="62">
        <v>296</v>
      </c>
      <c r="AW661" s="10"/>
      <c r="AX661" s="326">
        <v>40056</v>
      </c>
      <c r="AY661" s="5">
        <v>-1</v>
      </c>
      <c r="AZ661" s="10"/>
      <c r="BA661" s="61">
        <v>1946</v>
      </c>
      <c r="BB661" s="59">
        <v>60419467</v>
      </c>
      <c r="BC661" s="59"/>
      <c r="BD661" s="59"/>
      <c r="BE661" s="59">
        <v>55</v>
      </c>
      <c r="BF661" s="59">
        <v>4</v>
      </c>
      <c r="BG661" s="59">
        <v>0</v>
      </c>
      <c r="BH661" s="30">
        <f>SUM(BE661:BG661)</f>
        <v>59</v>
      </c>
      <c r="BI661" s="59">
        <v>2812080</v>
      </c>
      <c r="BJ661" s="342">
        <v>40066</v>
      </c>
      <c r="BK661" s="342">
        <v>40169</v>
      </c>
      <c r="BL661" s="320">
        <f>BK661-BJ661</f>
        <v>103</v>
      </c>
      <c r="BM661" s="62"/>
      <c r="BN661" s="59"/>
      <c r="BO661" s="61"/>
      <c r="BP661" s="62">
        <v>165</v>
      </c>
      <c r="BQ661" s="10"/>
      <c r="BR661" s="29">
        <v>2010</v>
      </c>
      <c r="BS661" s="64">
        <v>2009</v>
      </c>
      <c r="BT661" s="14">
        <v>17</v>
      </c>
      <c r="BU661" s="10"/>
      <c r="BV661" s="8">
        <v>9</v>
      </c>
      <c r="BW661" s="59">
        <v>0</v>
      </c>
      <c r="BX661" s="59">
        <v>0</v>
      </c>
      <c r="BY661" s="59">
        <v>0</v>
      </c>
      <c r="BZ661" s="59">
        <v>0</v>
      </c>
      <c r="CA661" s="59">
        <v>1</v>
      </c>
      <c r="CB661" s="59">
        <v>0</v>
      </c>
      <c r="CC661" s="221"/>
      <c r="CD661" s="59">
        <v>4</v>
      </c>
      <c r="CE661" s="59">
        <v>0</v>
      </c>
      <c r="CF661" s="221">
        <v>0</v>
      </c>
      <c r="CG661" s="59">
        <v>0</v>
      </c>
      <c r="CH661" s="59">
        <v>0</v>
      </c>
      <c r="CI661" s="59">
        <v>0</v>
      </c>
      <c r="CJ661" s="59">
        <v>0</v>
      </c>
      <c r="CK661" s="59"/>
      <c r="CL661" s="59">
        <v>0</v>
      </c>
      <c r="CM661" s="59">
        <v>0</v>
      </c>
      <c r="CN661" s="59">
        <v>0</v>
      </c>
      <c r="CO661" s="59">
        <v>1</v>
      </c>
      <c r="CP661" s="317"/>
      <c r="CQ661" s="59">
        <v>0</v>
      </c>
      <c r="CR661" s="59"/>
      <c r="CS661" s="59">
        <v>0</v>
      </c>
      <c r="CT661" s="59">
        <v>2</v>
      </c>
      <c r="CU661" s="222">
        <v>0</v>
      </c>
      <c r="CV661" s="59">
        <v>2</v>
      </c>
      <c r="CW661" s="59">
        <v>0</v>
      </c>
      <c r="CX661" s="59">
        <v>0</v>
      </c>
      <c r="CY661" s="59">
        <v>0</v>
      </c>
      <c r="CZ661" s="59">
        <v>0</v>
      </c>
      <c r="DA661" s="59">
        <v>0</v>
      </c>
      <c r="DB661" s="59">
        <v>0</v>
      </c>
      <c r="DC661" s="59">
        <v>0</v>
      </c>
      <c r="DD661" s="59">
        <v>0</v>
      </c>
      <c r="DE661" s="59">
        <v>0</v>
      </c>
      <c r="DF661" s="59">
        <v>0</v>
      </c>
      <c r="DG661" s="59">
        <v>3</v>
      </c>
      <c r="DH661" s="59">
        <v>1</v>
      </c>
      <c r="DI661" s="59">
        <v>0</v>
      </c>
      <c r="DJ661" s="59">
        <v>0</v>
      </c>
      <c r="DK661" s="59">
        <v>0</v>
      </c>
      <c r="DL661">
        <v>0</v>
      </c>
      <c r="DM661" s="59">
        <v>0</v>
      </c>
      <c r="DN661" s="59">
        <v>0</v>
      </c>
      <c r="DO661" s="59">
        <v>0</v>
      </c>
      <c r="DP661" s="59">
        <v>0</v>
      </c>
      <c r="DQ661" s="59">
        <v>0</v>
      </c>
      <c r="DR661" s="59"/>
      <c r="DS661" s="59">
        <v>0</v>
      </c>
      <c r="DT661" s="59">
        <v>0</v>
      </c>
      <c r="DU661" s="59">
        <v>0</v>
      </c>
      <c r="DV661" s="38">
        <f t="shared" si="320"/>
        <v>23</v>
      </c>
      <c r="DW661" s="14" t="str">
        <f t="shared" si="319"/>
        <v/>
      </c>
      <c r="DY661">
        <f>S661</f>
        <v>23</v>
      </c>
    </row>
    <row r="662" spans="1:130" customFormat="1">
      <c r="A662" s="210">
        <v>40071</v>
      </c>
      <c r="B662" s="211"/>
      <c r="C662" s="61">
        <v>3</v>
      </c>
      <c r="D662" s="59">
        <v>31</v>
      </c>
      <c r="E662" s="59">
        <v>0</v>
      </c>
      <c r="F662" s="59">
        <v>0</v>
      </c>
      <c r="G662" s="59">
        <v>2</v>
      </c>
      <c r="H662" s="59">
        <v>0</v>
      </c>
      <c r="I662" s="59">
        <v>0</v>
      </c>
      <c r="J662" s="59">
        <v>8</v>
      </c>
      <c r="K662" s="59">
        <v>0</v>
      </c>
      <c r="L662" s="59">
        <v>0</v>
      </c>
      <c r="M662" s="59">
        <v>0</v>
      </c>
      <c r="N662" s="59">
        <v>0</v>
      </c>
      <c r="O662" s="59">
        <v>4</v>
      </c>
      <c r="P662" s="59">
        <v>2</v>
      </c>
      <c r="Q662" s="59">
        <v>0</v>
      </c>
      <c r="R662" s="59">
        <v>0</v>
      </c>
      <c r="S662" s="35">
        <f t="shared" ref="S662:S676" si="321">SUM(C662:R662)</f>
        <v>50</v>
      </c>
      <c r="T662" s="59"/>
      <c r="U662" s="59">
        <v>12</v>
      </c>
      <c r="V662" s="59">
        <v>10</v>
      </c>
      <c r="W662" s="59">
        <v>0</v>
      </c>
      <c r="X662" s="62">
        <v>0</v>
      </c>
      <c r="Y662" s="59"/>
      <c r="Z662" s="61">
        <v>203000</v>
      </c>
      <c r="AA662" s="101"/>
      <c r="AB662" s="101"/>
      <c r="AC662" s="61">
        <v>735749</v>
      </c>
      <c r="AD662" s="59"/>
      <c r="AE662" s="35">
        <f t="shared" si="318"/>
        <v>735749</v>
      </c>
      <c r="AF662" s="10"/>
      <c r="AG662" s="61">
        <v>111</v>
      </c>
      <c r="AH662" s="59">
        <v>1</v>
      </c>
      <c r="AI662" s="59">
        <v>130</v>
      </c>
      <c r="AJ662" s="62"/>
      <c r="AK662" s="10"/>
      <c r="AL662" s="8"/>
      <c r="AM662" s="10"/>
      <c r="AN662" s="35"/>
      <c r="AO662" s="279"/>
      <c r="AP662" s="279"/>
      <c r="AQ662" s="281"/>
      <c r="AR662" s="59">
        <v>137</v>
      </c>
      <c r="AS662" s="59">
        <v>91</v>
      </c>
      <c r="AT662" s="59">
        <v>143</v>
      </c>
      <c r="AU662" s="59">
        <v>16</v>
      </c>
      <c r="AV662" s="62">
        <v>298</v>
      </c>
      <c r="AW662" s="10"/>
      <c r="AX662" s="326">
        <v>40070</v>
      </c>
      <c r="AY662" s="5">
        <v>-1</v>
      </c>
      <c r="AZ662" s="10"/>
      <c r="BA662" s="61"/>
      <c r="BB662" s="59"/>
      <c r="BC662" s="59"/>
      <c r="BD662" s="59"/>
      <c r="BE662" s="59"/>
      <c r="BF662" s="59"/>
      <c r="BG662" s="59"/>
      <c r="BH662" s="351"/>
      <c r="BI662" s="59"/>
      <c r="BJ662" s="342"/>
      <c r="BK662" s="342"/>
      <c r="BL662" s="320"/>
      <c r="BM662" s="62"/>
      <c r="BN662" s="10"/>
      <c r="BO662" s="8"/>
      <c r="BP662" s="62"/>
      <c r="BQ662" s="10"/>
      <c r="BR662" s="29">
        <v>2010</v>
      </c>
      <c r="BS662" s="64">
        <v>2009</v>
      </c>
      <c r="BT662" s="14">
        <v>18</v>
      </c>
      <c r="BU662" s="10"/>
      <c r="BV662" s="8">
        <v>0</v>
      </c>
      <c r="BW662" s="59">
        <v>0</v>
      </c>
      <c r="BX662" s="59">
        <v>2</v>
      </c>
      <c r="BY662" s="59">
        <v>0</v>
      </c>
      <c r="BZ662" s="59">
        <v>0</v>
      </c>
      <c r="CA662" s="59">
        <v>0</v>
      </c>
      <c r="CB662" s="59">
        <v>0</v>
      </c>
      <c r="CC662" s="221"/>
      <c r="CD662" s="59">
        <v>8</v>
      </c>
      <c r="CE662" s="59">
        <v>0</v>
      </c>
      <c r="CF662" s="221">
        <v>0</v>
      </c>
      <c r="CG662" s="59">
        <v>0</v>
      </c>
      <c r="CH662" s="59">
        <v>0</v>
      </c>
      <c r="CI662" s="59">
        <v>3</v>
      </c>
      <c r="CJ662" s="59">
        <v>0</v>
      </c>
      <c r="CK662" s="59"/>
      <c r="CL662" s="59">
        <v>0</v>
      </c>
      <c r="CM662" s="59">
        <v>0</v>
      </c>
      <c r="CN662" s="59">
        <v>0</v>
      </c>
      <c r="CO662" s="59">
        <v>9</v>
      </c>
      <c r="CP662" s="317"/>
      <c r="CQ662" s="59">
        <v>0</v>
      </c>
      <c r="CR662" s="59"/>
      <c r="CS662" s="59">
        <v>0</v>
      </c>
      <c r="CT662" s="59">
        <v>9</v>
      </c>
      <c r="CU662" s="222">
        <v>0</v>
      </c>
      <c r="CV662" s="59">
        <v>3</v>
      </c>
      <c r="CW662" s="59">
        <v>0</v>
      </c>
      <c r="CX662" s="59">
        <v>0</v>
      </c>
      <c r="CY662" s="59">
        <v>0</v>
      </c>
      <c r="CZ662" s="59">
        <v>0</v>
      </c>
      <c r="DA662" s="59">
        <v>0</v>
      </c>
      <c r="DB662" s="59">
        <v>9</v>
      </c>
      <c r="DC662" s="59">
        <v>0</v>
      </c>
      <c r="DD662" s="59">
        <v>0</v>
      </c>
      <c r="DE662" s="59">
        <v>0</v>
      </c>
      <c r="DF662" s="59">
        <v>0</v>
      </c>
      <c r="DG662" s="59">
        <v>0</v>
      </c>
      <c r="DH662" s="59">
        <v>0</v>
      </c>
      <c r="DI662" s="59">
        <v>0</v>
      </c>
      <c r="DJ662" s="59">
        <v>2</v>
      </c>
      <c r="DK662" s="59">
        <v>0</v>
      </c>
      <c r="DL662">
        <v>1</v>
      </c>
      <c r="DM662" s="59">
        <v>1</v>
      </c>
      <c r="DN662" s="59">
        <v>1</v>
      </c>
      <c r="DO662" s="59">
        <v>1</v>
      </c>
      <c r="DP662" s="59">
        <v>0</v>
      </c>
      <c r="DQ662" s="59">
        <v>0</v>
      </c>
      <c r="DR662" s="59"/>
      <c r="DS662" s="59">
        <v>1</v>
      </c>
      <c r="DT662" s="59">
        <v>0</v>
      </c>
      <c r="DU662" s="59">
        <v>0</v>
      </c>
      <c r="DV662" s="38">
        <f t="shared" si="320"/>
        <v>50</v>
      </c>
      <c r="DW662" s="14" t="str">
        <f t="shared" si="319"/>
        <v/>
      </c>
      <c r="DY662">
        <f t="shared" ref="DY662:DY680" si="322">S662</f>
        <v>50</v>
      </c>
    </row>
    <row r="663" spans="1:130" customFormat="1">
      <c r="A663" s="210">
        <v>40087</v>
      </c>
      <c r="B663" s="211"/>
      <c r="C663" s="61">
        <v>4</v>
      </c>
      <c r="D663" s="59">
        <v>19</v>
      </c>
      <c r="E663" s="59">
        <v>0</v>
      </c>
      <c r="F663" s="59">
        <v>0</v>
      </c>
      <c r="G663" s="59">
        <v>0</v>
      </c>
      <c r="H663" s="59">
        <v>0</v>
      </c>
      <c r="I663" s="59">
        <v>0</v>
      </c>
      <c r="J663" s="59">
        <v>16</v>
      </c>
      <c r="K663" s="59">
        <v>0</v>
      </c>
      <c r="L663" s="59">
        <v>0</v>
      </c>
      <c r="M663" s="59">
        <v>0</v>
      </c>
      <c r="N663" s="59">
        <v>0</v>
      </c>
      <c r="O663" s="59">
        <v>5</v>
      </c>
      <c r="P663" s="59">
        <v>2</v>
      </c>
      <c r="Q663" s="59">
        <v>0</v>
      </c>
      <c r="R663" s="59">
        <v>0</v>
      </c>
      <c r="S663" s="35">
        <f t="shared" si="321"/>
        <v>46</v>
      </c>
      <c r="T663" s="59"/>
      <c r="U663" s="59">
        <v>12</v>
      </c>
      <c r="V663" s="59">
        <v>11</v>
      </c>
      <c r="W663" s="59">
        <v>0</v>
      </c>
      <c r="X663" s="5">
        <v>0</v>
      </c>
      <c r="Y663" s="10"/>
      <c r="Z663" s="61">
        <v>181000</v>
      </c>
      <c r="AA663" s="101"/>
      <c r="AB663" s="101"/>
      <c r="AC663" s="61">
        <v>410877</v>
      </c>
      <c r="AD663" s="59"/>
      <c r="AE663" s="35">
        <f t="shared" si="318"/>
        <v>410877</v>
      </c>
      <c r="AF663" s="10"/>
      <c r="AG663" s="61">
        <v>64</v>
      </c>
      <c r="AH663" s="59">
        <v>1</v>
      </c>
      <c r="AI663" s="59">
        <v>132</v>
      </c>
      <c r="AJ663" s="62"/>
      <c r="AK663" s="10"/>
      <c r="AL663" s="61">
        <v>0</v>
      </c>
      <c r="AM663" s="59">
        <v>38</v>
      </c>
      <c r="AN663" s="35">
        <f>SUM(AL663:AM663)</f>
        <v>38</v>
      </c>
      <c r="AO663" s="279"/>
      <c r="AP663" s="279"/>
      <c r="AQ663" s="281"/>
      <c r="AR663" s="59">
        <v>137</v>
      </c>
      <c r="AS663" s="59">
        <v>91</v>
      </c>
      <c r="AT663" s="59">
        <v>143</v>
      </c>
      <c r="AU663" s="59">
        <v>16</v>
      </c>
      <c r="AV663" s="62">
        <v>298</v>
      </c>
      <c r="AW663" s="10"/>
      <c r="AX663" s="326">
        <v>40086</v>
      </c>
      <c r="AY663" s="5">
        <v>-1</v>
      </c>
      <c r="AZ663" s="10"/>
      <c r="BA663" s="61">
        <v>1948</v>
      </c>
      <c r="BB663" s="59">
        <v>61066351</v>
      </c>
      <c r="BC663" s="59"/>
      <c r="BD663" s="59"/>
      <c r="BE663" s="59">
        <v>87</v>
      </c>
      <c r="BF663" s="59">
        <v>7</v>
      </c>
      <c r="BG663" s="59">
        <v>5</v>
      </c>
      <c r="BH663" s="30">
        <f>SUM(BE663:BG663)</f>
        <v>99</v>
      </c>
      <c r="BI663" s="59">
        <v>5166183</v>
      </c>
      <c r="BJ663" s="342">
        <v>40096</v>
      </c>
      <c r="BK663" s="342">
        <v>40192</v>
      </c>
      <c r="BL663" s="320">
        <f>BK663-BJ663</f>
        <v>96</v>
      </c>
      <c r="BM663" s="62"/>
      <c r="BN663" s="10"/>
      <c r="BO663" s="8"/>
      <c r="BP663" s="62">
        <v>165</v>
      </c>
      <c r="BQ663" s="10"/>
      <c r="BR663" s="29">
        <v>2010</v>
      </c>
      <c r="BS663" s="64">
        <v>2009</v>
      </c>
      <c r="BT663" s="14">
        <v>19</v>
      </c>
      <c r="BU663" s="10"/>
      <c r="BV663" s="8">
        <v>2</v>
      </c>
      <c r="BW663" s="59">
        <v>0</v>
      </c>
      <c r="BX663" s="59">
        <v>0</v>
      </c>
      <c r="BY663" s="59">
        <v>0</v>
      </c>
      <c r="BZ663" s="59">
        <v>0</v>
      </c>
      <c r="CA663" s="59">
        <v>0</v>
      </c>
      <c r="CB663" s="59">
        <v>0</v>
      </c>
      <c r="CC663" s="221"/>
      <c r="CD663" s="59">
        <v>4</v>
      </c>
      <c r="CE663" s="59">
        <v>3</v>
      </c>
      <c r="CF663" s="221">
        <v>0</v>
      </c>
      <c r="CG663" s="59">
        <v>0</v>
      </c>
      <c r="CH663" s="59">
        <v>0</v>
      </c>
      <c r="CI663" s="59">
        <v>10</v>
      </c>
      <c r="CJ663" s="59">
        <v>9</v>
      </c>
      <c r="CK663" s="59"/>
      <c r="CL663" s="59">
        <v>0</v>
      </c>
      <c r="CM663" s="59">
        <v>0</v>
      </c>
      <c r="CN663" s="59">
        <v>0</v>
      </c>
      <c r="CO663" s="59">
        <v>5</v>
      </c>
      <c r="CP663" s="317"/>
      <c r="CQ663" s="59">
        <v>0</v>
      </c>
      <c r="CR663" s="59"/>
      <c r="CS663" s="59">
        <v>0</v>
      </c>
      <c r="CT663" s="59">
        <v>6</v>
      </c>
      <c r="CU663" s="222">
        <v>0</v>
      </c>
      <c r="CV663" s="59">
        <v>7</v>
      </c>
      <c r="CW663" s="59">
        <v>0</v>
      </c>
      <c r="CX663" s="59">
        <v>0</v>
      </c>
      <c r="CY663" s="59">
        <v>0</v>
      </c>
      <c r="CZ663" s="59">
        <v>0</v>
      </c>
      <c r="DA663" s="59">
        <v>0</v>
      </c>
      <c r="DB663" s="59">
        <v>0</v>
      </c>
      <c r="DC663" s="59">
        <v>0</v>
      </c>
      <c r="DD663" s="59">
        <v>0</v>
      </c>
      <c r="DE663" s="59">
        <v>0</v>
      </c>
      <c r="DF663" s="59">
        <v>0</v>
      </c>
      <c r="DG663" s="59">
        <v>0</v>
      </c>
      <c r="DH663" s="59">
        <v>0</v>
      </c>
      <c r="DI663" s="59">
        <v>0</v>
      </c>
      <c r="DJ663" s="59">
        <v>0</v>
      </c>
      <c r="DK663" s="59">
        <v>0</v>
      </c>
      <c r="DL663">
        <v>0</v>
      </c>
      <c r="DM663" s="59">
        <v>0</v>
      </c>
      <c r="DN663" s="59">
        <v>0</v>
      </c>
      <c r="DO663" s="59">
        <v>0</v>
      </c>
      <c r="DP663" s="59">
        <v>0</v>
      </c>
      <c r="DQ663" s="59">
        <v>0</v>
      </c>
      <c r="DR663" s="59"/>
      <c r="DS663" s="59">
        <v>0</v>
      </c>
      <c r="DT663" s="59">
        <v>0</v>
      </c>
      <c r="DU663" s="59">
        <v>0</v>
      </c>
      <c r="DV663" s="38">
        <f t="shared" si="320"/>
        <v>46</v>
      </c>
      <c r="DW663" s="14" t="str">
        <f t="shared" si="319"/>
        <v/>
      </c>
      <c r="DY663">
        <f t="shared" si="322"/>
        <v>46</v>
      </c>
    </row>
    <row r="664" spans="1:130" customFormat="1">
      <c r="A664" s="210">
        <v>40101</v>
      </c>
      <c r="B664" s="211"/>
      <c r="C664" s="61">
        <v>0</v>
      </c>
      <c r="D664" s="59">
        <v>12</v>
      </c>
      <c r="E664" s="59">
        <v>1</v>
      </c>
      <c r="F664" s="59">
        <v>0</v>
      </c>
      <c r="G664" s="59">
        <v>2</v>
      </c>
      <c r="H664" s="59">
        <v>0</v>
      </c>
      <c r="I664" s="59">
        <v>0</v>
      </c>
      <c r="J664" s="59">
        <v>13</v>
      </c>
      <c r="K664" s="59">
        <v>1</v>
      </c>
      <c r="L664" s="59">
        <v>0</v>
      </c>
      <c r="M664" s="59">
        <v>0</v>
      </c>
      <c r="N664" s="59">
        <v>0</v>
      </c>
      <c r="O664" s="59">
        <v>10</v>
      </c>
      <c r="P664" s="59">
        <v>0</v>
      </c>
      <c r="Q664">
        <v>1</v>
      </c>
      <c r="R664" s="59">
        <v>0</v>
      </c>
      <c r="S664" s="35">
        <f t="shared" si="321"/>
        <v>40</v>
      </c>
      <c r="T664" s="59"/>
      <c r="U664" s="59">
        <v>3</v>
      </c>
      <c r="V664" s="59">
        <v>3</v>
      </c>
      <c r="W664" s="59">
        <v>0</v>
      </c>
      <c r="X664" s="5">
        <v>0</v>
      </c>
      <c r="Y664" s="10"/>
      <c r="Z664" s="61">
        <v>94000</v>
      </c>
      <c r="AA664" s="101"/>
      <c r="AB664" s="101"/>
      <c r="AC664" s="61">
        <v>339568</v>
      </c>
      <c r="AD664" s="59"/>
      <c r="AE664" s="35">
        <f t="shared" si="318"/>
        <v>339568</v>
      </c>
      <c r="AF664" s="10"/>
      <c r="AG664" s="61">
        <v>42</v>
      </c>
      <c r="AH664" s="59">
        <v>1</v>
      </c>
      <c r="AI664" s="59">
        <v>64</v>
      </c>
      <c r="AJ664" s="62"/>
      <c r="AK664" s="10"/>
      <c r="AL664" s="8"/>
      <c r="AM664" s="59"/>
      <c r="AN664" s="35"/>
      <c r="AO664" s="279"/>
      <c r="AP664" s="279"/>
      <c r="AQ664" s="281"/>
      <c r="AR664" s="59">
        <v>136</v>
      </c>
      <c r="AS664" s="59">
        <v>92</v>
      </c>
      <c r="AT664" s="59">
        <v>145</v>
      </c>
      <c r="AU664" s="59">
        <v>16</v>
      </c>
      <c r="AV664" s="62">
        <v>301</v>
      </c>
      <c r="AW664" s="10"/>
      <c r="AX664" s="326">
        <v>40100</v>
      </c>
      <c r="AY664" s="5">
        <v>-1</v>
      </c>
      <c r="AZ664" s="10"/>
      <c r="BA664" s="61"/>
      <c r="BB664" s="6"/>
      <c r="BC664" s="59"/>
      <c r="BD664" s="59"/>
      <c r="BE664" s="59"/>
      <c r="BF664" s="59"/>
      <c r="BG664" s="59"/>
      <c r="BH664" s="351"/>
      <c r="BI664" s="59"/>
      <c r="BJ664" s="342"/>
      <c r="BK664" s="342"/>
      <c r="BL664" s="320"/>
      <c r="BM664" s="62"/>
      <c r="BN664" s="10"/>
      <c r="BO664" s="8"/>
      <c r="BP664" s="62"/>
      <c r="BQ664" s="10"/>
      <c r="BR664" s="29">
        <v>2010</v>
      </c>
      <c r="BS664" s="64">
        <v>2009</v>
      </c>
      <c r="BT664" s="14">
        <v>20</v>
      </c>
      <c r="BU664" s="10"/>
      <c r="BV664" s="8">
        <v>6</v>
      </c>
      <c r="BW664" s="59">
        <v>0</v>
      </c>
      <c r="BX664" s="59">
        <v>0</v>
      </c>
      <c r="BY664" s="59">
        <v>0</v>
      </c>
      <c r="BZ664" s="59">
        <v>0</v>
      </c>
      <c r="CA664" s="59">
        <v>0</v>
      </c>
      <c r="CB664" s="59">
        <v>0</v>
      </c>
      <c r="CC664" s="221"/>
      <c r="CD664" s="59">
        <v>9</v>
      </c>
      <c r="CE664" s="59">
        <v>0</v>
      </c>
      <c r="CF664" s="221">
        <v>0</v>
      </c>
      <c r="CG664" s="59">
        <v>0</v>
      </c>
      <c r="CH664" s="59">
        <v>0</v>
      </c>
      <c r="CI664" s="59">
        <v>0</v>
      </c>
      <c r="CJ664" s="59">
        <v>0</v>
      </c>
      <c r="CK664" s="59"/>
      <c r="CL664" s="59">
        <v>0</v>
      </c>
      <c r="CM664" s="59">
        <v>0</v>
      </c>
      <c r="CN664" s="59">
        <v>0</v>
      </c>
      <c r="CO664" s="59">
        <v>10</v>
      </c>
      <c r="CP664" s="317"/>
      <c r="CQ664" s="59">
        <v>0</v>
      </c>
      <c r="CR664" s="59"/>
      <c r="CS664" s="59">
        <v>0</v>
      </c>
      <c r="CT664" s="59">
        <v>1</v>
      </c>
      <c r="CU664" s="222">
        <v>0</v>
      </c>
      <c r="CV664" s="59">
        <v>6</v>
      </c>
      <c r="CW664" s="59">
        <v>0</v>
      </c>
      <c r="CX664" s="59">
        <v>0</v>
      </c>
      <c r="CY664" s="59">
        <v>2</v>
      </c>
      <c r="CZ664" s="59">
        <v>0</v>
      </c>
      <c r="DA664" s="59">
        <v>0</v>
      </c>
      <c r="DB664" s="59">
        <v>0</v>
      </c>
      <c r="DC664" s="59">
        <v>0</v>
      </c>
      <c r="DD664" s="59">
        <v>0</v>
      </c>
      <c r="DE664" s="59">
        <v>1</v>
      </c>
      <c r="DF664" s="59">
        <v>0</v>
      </c>
      <c r="DG664" s="59">
        <v>0</v>
      </c>
      <c r="DH664" s="59">
        <v>2</v>
      </c>
      <c r="DI664" s="59">
        <v>0</v>
      </c>
      <c r="DJ664" s="59">
        <v>0</v>
      </c>
      <c r="DK664" s="59">
        <v>0</v>
      </c>
      <c r="DL664">
        <v>1</v>
      </c>
      <c r="DM664" s="59">
        <v>0</v>
      </c>
      <c r="DN664" s="59">
        <v>0</v>
      </c>
      <c r="DO664" s="59">
        <v>1</v>
      </c>
      <c r="DP664" s="59">
        <v>0</v>
      </c>
      <c r="DQ664" s="59">
        <v>0</v>
      </c>
      <c r="DR664" s="59"/>
      <c r="DS664" s="59">
        <v>1</v>
      </c>
      <c r="DT664" s="59">
        <v>0</v>
      </c>
      <c r="DU664" s="59">
        <v>0</v>
      </c>
      <c r="DV664" s="38">
        <f t="shared" si="320"/>
        <v>40</v>
      </c>
      <c r="DW664" s="14" t="str">
        <f t="shared" si="319"/>
        <v/>
      </c>
      <c r="DY664">
        <f t="shared" si="322"/>
        <v>40</v>
      </c>
      <c r="DZ664" s="355"/>
    </row>
    <row r="665" spans="1:130" customFormat="1">
      <c r="A665" s="210">
        <v>40118</v>
      </c>
      <c r="B665" s="211"/>
      <c r="C665" s="61">
        <v>2</v>
      </c>
      <c r="D665" s="59">
        <v>21</v>
      </c>
      <c r="E665" s="59">
        <v>0</v>
      </c>
      <c r="F665" s="59">
        <v>4</v>
      </c>
      <c r="G665" s="59">
        <v>0</v>
      </c>
      <c r="H665" s="59">
        <v>0</v>
      </c>
      <c r="I665" s="59">
        <v>0</v>
      </c>
      <c r="J665" s="59">
        <v>7</v>
      </c>
      <c r="K665" s="59">
        <v>1</v>
      </c>
      <c r="L665" s="59">
        <v>1</v>
      </c>
      <c r="M665" s="59">
        <v>0</v>
      </c>
      <c r="N665" s="59">
        <v>0</v>
      </c>
      <c r="O665" s="59">
        <v>12</v>
      </c>
      <c r="P665" s="59">
        <v>0</v>
      </c>
      <c r="Q665" s="59">
        <v>0</v>
      </c>
      <c r="R665" s="59">
        <v>0</v>
      </c>
      <c r="S665" s="35">
        <f t="shared" si="321"/>
        <v>48</v>
      </c>
      <c r="T665" s="59"/>
      <c r="U665" s="59">
        <v>5</v>
      </c>
      <c r="V665" s="59">
        <v>5</v>
      </c>
      <c r="W665" s="59">
        <v>0</v>
      </c>
      <c r="X665" s="5">
        <v>0</v>
      </c>
      <c r="Y665" s="10"/>
      <c r="Z665" s="61">
        <v>158000</v>
      </c>
      <c r="AA665" s="101"/>
      <c r="AB665" s="101"/>
      <c r="AC665" s="61">
        <v>613519</v>
      </c>
      <c r="AD665" s="59"/>
      <c r="AE665" s="35">
        <f t="shared" si="318"/>
        <v>613519</v>
      </c>
      <c r="AF665" s="10"/>
      <c r="AG665" s="61">
        <v>85</v>
      </c>
      <c r="AH665" s="59">
        <v>1</v>
      </c>
      <c r="AI665" s="59">
        <v>104</v>
      </c>
      <c r="AJ665" s="62"/>
      <c r="AK665" s="10"/>
      <c r="AL665" s="8"/>
      <c r="AM665" s="10"/>
      <c r="AN665" s="35"/>
      <c r="AO665" s="279"/>
      <c r="AP665" s="279"/>
      <c r="AQ665" s="281"/>
      <c r="AR665" s="59">
        <v>137</v>
      </c>
      <c r="AS665" s="59">
        <v>93</v>
      </c>
      <c r="AT665" s="59">
        <v>148</v>
      </c>
      <c r="AU665" s="59">
        <v>16</v>
      </c>
      <c r="AV665" s="62">
        <v>306</v>
      </c>
      <c r="AW665" s="10"/>
      <c r="AX665" s="326">
        <v>40115</v>
      </c>
      <c r="AY665" s="5">
        <v>-3</v>
      </c>
      <c r="AZ665" s="10"/>
      <c r="BA665" s="61">
        <v>1954</v>
      </c>
      <c r="BB665" s="59">
        <v>61790302</v>
      </c>
      <c r="BC665" s="59"/>
      <c r="BD665" s="59"/>
      <c r="BE665" s="59">
        <v>66</v>
      </c>
      <c r="BF665" s="59">
        <v>6</v>
      </c>
      <c r="BG665" s="59">
        <v>0</v>
      </c>
      <c r="BH665" s="30">
        <f>SUM(BE665:BG665)</f>
        <v>72</v>
      </c>
      <c r="BI665" s="59">
        <v>3716935</v>
      </c>
      <c r="BJ665" s="342">
        <v>40127</v>
      </c>
      <c r="BK665" s="342">
        <v>40206</v>
      </c>
      <c r="BL665" s="320">
        <f>BK665-BJ665</f>
        <v>79</v>
      </c>
      <c r="BM665" s="62"/>
      <c r="BN665" s="10"/>
      <c r="BO665" s="8"/>
      <c r="BP665" s="62">
        <v>165</v>
      </c>
      <c r="BQ665" s="10"/>
      <c r="BR665" s="29">
        <v>2010</v>
      </c>
      <c r="BS665" s="64">
        <v>2009</v>
      </c>
      <c r="BT665" s="14">
        <v>21</v>
      </c>
      <c r="BU665" s="10"/>
      <c r="BV665" s="8">
        <v>0</v>
      </c>
      <c r="BW665" s="59">
        <v>0</v>
      </c>
      <c r="BX665" s="59">
        <v>1</v>
      </c>
      <c r="BY665" s="59">
        <v>0</v>
      </c>
      <c r="BZ665" s="59">
        <v>0</v>
      </c>
      <c r="CA665" s="59">
        <v>0</v>
      </c>
      <c r="CB665" s="59">
        <v>0</v>
      </c>
      <c r="CC665" s="221"/>
      <c r="CD665" s="59">
        <v>4</v>
      </c>
      <c r="CE665" s="59">
        <v>0</v>
      </c>
      <c r="CF665" s="221">
        <v>0</v>
      </c>
      <c r="CG665" s="59">
        <v>0</v>
      </c>
      <c r="CH665" s="59">
        <v>0</v>
      </c>
      <c r="CI665" s="59">
        <v>4</v>
      </c>
      <c r="CJ665" s="59">
        <v>0</v>
      </c>
      <c r="CK665" s="59"/>
      <c r="CL665" s="59">
        <v>0</v>
      </c>
      <c r="CM665" s="59">
        <v>0</v>
      </c>
      <c r="CN665" s="59">
        <v>0</v>
      </c>
      <c r="CO665" s="59">
        <v>5</v>
      </c>
      <c r="CP665" s="317"/>
      <c r="CQ665" s="59">
        <v>0</v>
      </c>
      <c r="CR665" s="59"/>
      <c r="CS665" s="59">
        <v>0</v>
      </c>
      <c r="CT665" s="59">
        <v>4</v>
      </c>
      <c r="CU665" s="222">
        <v>0</v>
      </c>
      <c r="CV665" s="59">
        <v>1</v>
      </c>
      <c r="CW665" s="59">
        <v>0</v>
      </c>
      <c r="CX665" s="59">
        <v>1</v>
      </c>
      <c r="CY665" s="59">
        <v>3</v>
      </c>
      <c r="CZ665" s="59">
        <v>0</v>
      </c>
      <c r="DA665" s="59">
        <v>0</v>
      </c>
      <c r="DB665" s="59">
        <v>7</v>
      </c>
      <c r="DC665" s="59">
        <v>0</v>
      </c>
      <c r="DD665" s="59">
        <v>0</v>
      </c>
      <c r="DE665" s="59">
        <v>0</v>
      </c>
      <c r="DF665" s="59">
        <v>0</v>
      </c>
      <c r="DG665" s="59">
        <v>9</v>
      </c>
      <c r="DH665" s="59">
        <v>0</v>
      </c>
      <c r="DI665" s="59">
        <v>0</v>
      </c>
      <c r="DJ665" s="59">
        <v>0</v>
      </c>
      <c r="DK665" s="59">
        <v>0</v>
      </c>
      <c r="DL665" s="222">
        <v>0</v>
      </c>
      <c r="DM665" s="59">
        <v>8</v>
      </c>
      <c r="DN665" s="59">
        <v>1</v>
      </c>
      <c r="DO665" s="59">
        <v>0</v>
      </c>
      <c r="DP665" s="59">
        <v>0</v>
      </c>
      <c r="DQ665" s="59">
        <v>0</v>
      </c>
      <c r="DR665" s="59"/>
      <c r="DS665" s="59">
        <v>0</v>
      </c>
      <c r="DT665" s="59">
        <v>0</v>
      </c>
      <c r="DU665" s="59">
        <v>0</v>
      </c>
      <c r="DV665" s="38">
        <f t="shared" si="320"/>
        <v>48</v>
      </c>
      <c r="DW665" s="14" t="str">
        <f t="shared" si="319"/>
        <v/>
      </c>
      <c r="DY665">
        <f t="shared" si="322"/>
        <v>48</v>
      </c>
    </row>
    <row r="666" spans="1:130" customFormat="1">
      <c r="A666" s="210">
        <v>40132</v>
      </c>
      <c r="B666" s="211"/>
      <c r="C666" s="61">
        <v>11</v>
      </c>
      <c r="D666" s="59">
        <v>34</v>
      </c>
      <c r="E666" s="59">
        <v>2</v>
      </c>
      <c r="F666" s="59">
        <v>0</v>
      </c>
      <c r="G666" s="59">
        <v>0</v>
      </c>
      <c r="H666" s="59">
        <v>1</v>
      </c>
      <c r="I666" s="59">
        <v>0</v>
      </c>
      <c r="J666" s="59">
        <v>15</v>
      </c>
      <c r="K666" s="59">
        <v>0</v>
      </c>
      <c r="L666" s="59">
        <v>0</v>
      </c>
      <c r="M666" s="59">
        <v>0</v>
      </c>
      <c r="N666" s="59">
        <v>0</v>
      </c>
      <c r="O666" s="59">
        <v>5</v>
      </c>
      <c r="P666" s="59">
        <v>3</v>
      </c>
      <c r="Q666" s="59">
        <v>0</v>
      </c>
      <c r="R666" s="59">
        <v>0</v>
      </c>
      <c r="S666" s="35">
        <f t="shared" si="321"/>
        <v>71</v>
      </c>
      <c r="T666" s="59"/>
      <c r="U666" s="59">
        <v>10</v>
      </c>
      <c r="V666" s="59">
        <v>8</v>
      </c>
      <c r="W666" s="59">
        <v>0</v>
      </c>
      <c r="X666" s="5">
        <v>0</v>
      </c>
      <c r="Y666" s="10"/>
      <c r="Z666" s="61">
        <v>171000</v>
      </c>
      <c r="AA666" s="101"/>
      <c r="AB666" s="101"/>
      <c r="AC666" s="61">
        <v>752934</v>
      </c>
      <c r="AD666" s="59"/>
      <c r="AE666" s="35">
        <f t="shared" si="318"/>
        <v>752934</v>
      </c>
      <c r="AF666" s="10"/>
      <c r="AG666" s="61">
        <v>110</v>
      </c>
      <c r="AH666" s="59">
        <v>1</v>
      </c>
      <c r="AI666" s="59">
        <v>126</v>
      </c>
      <c r="AJ666" s="62"/>
      <c r="AK666" s="10"/>
      <c r="AL666" s="8"/>
      <c r="AM666" s="10"/>
      <c r="AN666" s="35"/>
      <c r="AO666" s="279"/>
      <c r="AP666" s="279"/>
      <c r="AQ666" s="281"/>
      <c r="AR666" s="59">
        <v>137</v>
      </c>
      <c r="AS666" s="59">
        <v>92</v>
      </c>
      <c r="AT666" s="59">
        <v>146</v>
      </c>
      <c r="AU666" s="59">
        <v>16</v>
      </c>
      <c r="AV666" s="62">
        <v>303</v>
      </c>
      <c r="AW666" s="10"/>
      <c r="AX666" s="326">
        <v>40129</v>
      </c>
      <c r="AY666" s="5">
        <v>-3</v>
      </c>
      <c r="AZ666" s="10"/>
      <c r="BA666" s="61"/>
      <c r="BB666" s="59"/>
      <c r="BC666" s="59"/>
      <c r="BD666" s="59"/>
      <c r="BE666" s="59"/>
      <c r="BF666" s="59"/>
      <c r="BG666" s="59"/>
      <c r="BH666" s="351"/>
      <c r="BI666" s="102"/>
      <c r="BJ666" s="344"/>
      <c r="BK666" s="344"/>
      <c r="BL666" s="321"/>
      <c r="BM666" s="62"/>
      <c r="BN666" s="10"/>
      <c r="BO666" s="8"/>
      <c r="BP666" s="62"/>
      <c r="BQ666" s="10"/>
      <c r="BR666" s="29">
        <v>2010</v>
      </c>
      <c r="BS666" s="64">
        <v>2009</v>
      </c>
      <c r="BT666" s="14">
        <v>22</v>
      </c>
      <c r="BU666" s="10"/>
      <c r="BV666" s="8">
        <v>6</v>
      </c>
      <c r="BW666" s="59">
        <v>5</v>
      </c>
      <c r="BX666" s="59">
        <v>0</v>
      </c>
      <c r="BY666" s="59">
        <v>0</v>
      </c>
      <c r="BZ666" s="59">
        <v>0</v>
      </c>
      <c r="CA666" s="59">
        <v>0</v>
      </c>
      <c r="CB666" s="59">
        <v>0</v>
      </c>
      <c r="CC666" s="221"/>
      <c r="CD666" s="59">
        <v>5</v>
      </c>
      <c r="CE666" s="59">
        <v>0</v>
      </c>
      <c r="CF666" s="221">
        <v>0</v>
      </c>
      <c r="CG666" s="59">
        <v>0</v>
      </c>
      <c r="CH666" s="59">
        <v>0</v>
      </c>
      <c r="CI666" s="59">
        <v>5</v>
      </c>
      <c r="CJ666" s="59">
        <v>1</v>
      </c>
      <c r="CK666" s="59"/>
      <c r="CL666" s="59">
        <v>0</v>
      </c>
      <c r="CM666" s="59">
        <v>7</v>
      </c>
      <c r="CN666" s="59">
        <v>1</v>
      </c>
      <c r="CO666" s="59">
        <v>32</v>
      </c>
      <c r="CP666" s="317"/>
      <c r="CQ666" s="59">
        <v>0</v>
      </c>
      <c r="CR666" s="59"/>
      <c r="CS666" s="59">
        <v>0</v>
      </c>
      <c r="CT666" s="59">
        <v>0</v>
      </c>
      <c r="CU666" s="222">
        <v>0</v>
      </c>
      <c r="CV666" s="59">
        <v>0</v>
      </c>
      <c r="CW666" s="59">
        <v>0</v>
      </c>
      <c r="CX666" s="59">
        <v>0</v>
      </c>
      <c r="CY666" s="59">
        <v>0</v>
      </c>
      <c r="CZ666" s="59">
        <v>0</v>
      </c>
      <c r="DA666" s="59">
        <v>0</v>
      </c>
      <c r="DB666" s="59">
        <v>0</v>
      </c>
      <c r="DC666" s="59">
        <v>0</v>
      </c>
      <c r="DD666" s="59">
        <v>0</v>
      </c>
      <c r="DE666" s="59">
        <v>0</v>
      </c>
      <c r="DF666" s="59">
        <v>0</v>
      </c>
      <c r="DG666" s="59">
        <v>2</v>
      </c>
      <c r="DH666" s="59">
        <v>0</v>
      </c>
      <c r="DI666" s="59">
        <v>0</v>
      </c>
      <c r="DJ666" s="59">
        <v>0</v>
      </c>
      <c r="DK666" s="59">
        <v>0</v>
      </c>
      <c r="DL666" s="222">
        <v>0</v>
      </c>
      <c r="DM666" s="59">
        <v>4</v>
      </c>
      <c r="DN666" s="59">
        <v>1</v>
      </c>
      <c r="DO666" s="59">
        <v>1</v>
      </c>
      <c r="DP666" s="59">
        <v>0</v>
      </c>
      <c r="DQ666" s="59">
        <v>0</v>
      </c>
      <c r="DR666" s="59"/>
      <c r="DS666" s="59">
        <v>1</v>
      </c>
      <c r="DT666" s="59">
        <v>0</v>
      </c>
      <c r="DU666" s="59">
        <v>0</v>
      </c>
      <c r="DV666" s="38">
        <f t="shared" si="320"/>
        <v>71</v>
      </c>
      <c r="DW666" s="14" t="str">
        <f t="shared" si="319"/>
        <v/>
      </c>
      <c r="DY666">
        <f t="shared" si="322"/>
        <v>71</v>
      </c>
    </row>
    <row r="667" spans="1:130" customFormat="1">
      <c r="A667" s="210">
        <v>40148</v>
      </c>
      <c r="B667" s="211"/>
      <c r="C667" s="61">
        <v>3</v>
      </c>
      <c r="D667" s="59">
        <v>8</v>
      </c>
      <c r="E667" s="59">
        <v>0</v>
      </c>
      <c r="F667" s="59">
        <v>0</v>
      </c>
      <c r="G667" s="59">
        <v>1</v>
      </c>
      <c r="H667" s="59">
        <v>0</v>
      </c>
      <c r="I667" s="59">
        <v>0</v>
      </c>
      <c r="J667" s="59">
        <v>2</v>
      </c>
      <c r="K667" s="59">
        <v>0</v>
      </c>
      <c r="L667" s="59">
        <v>0</v>
      </c>
      <c r="M667" s="59">
        <v>0</v>
      </c>
      <c r="N667" s="59">
        <v>0</v>
      </c>
      <c r="O667" s="59">
        <v>1</v>
      </c>
      <c r="P667" s="59">
        <v>0</v>
      </c>
      <c r="Q667" s="59">
        <v>0</v>
      </c>
      <c r="R667" s="59">
        <v>0</v>
      </c>
      <c r="S667" s="35">
        <f t="shared" si="321"/>
        <v>15</v>
      </c>
      <c r="T667" s="59"/>
      <c r="U667" s="59">
        <v>2</v>
      </c>
      <c r="V667" s="59">
        <v>2</v>
      </c>
      <c r="W667" s="59">
        <v>0</v>
      </c>
      <c r="X667" s="5">
        <v>0</v>
      </c>
      <c r="Y667" s="10"/>
      <c r="Z667" s="61">
        <v>74774</v>
      </c>
      <c r="AA667" s="101"/>
      <c r="AB667" s="101"/>
      <c r="AC667" s="61">
        <v>170184</v>
      </c>
      <c r="AD667" s="59"/>
      <c r="AE667" s="35">
        <f t="shared" si="318"/>
        <v>170184</v>
      </c>
      <c r="AF667" s="10"/>
      <c r="AG667" s="61">
        <v>30</v>
      </c>
      <c r="AH667" s="59">
        <v>1</v>
      </c>
      <c r="AI667" s="59">
        <v>44</v>
      </c>
      <c r="AJ667" s="62"/>
      <c r="AK667" s="10"/>
      <c r="AL667" s="8"/>
      <c r="AM667" s="10"/>
      <c r="AN667" s="35"/>
      <c r="AO667" s="279"/>
      <c r="AP667" s="279"/>
      <c r="AQ667" s="281"/>
      <c r="AR667" s="59">
        <v>135</v>
      </c>
      <c r="AS667" s="59"/>
      <c r="AT667" s="59"/>
      <c r="AU667" s="59"/>
      <c r="AV667" s="62"/>
      <c r="AW667" s="10"/>
      <c r="AX667" s="326">
        <v>40147</v>
      </c>
      <c r="AY667" s="5">
        <v>-1</v>
      </c>
      <c r="AZ667" s="10"/>
      <c r="BA667" s="61">
        <v>1955</v>
      </c>
      <c r="BB667" s="59">
        <v>62028958</v>
      </c>
      <c r="BC667" s="59"/>
      <c r="BD667" s="59"/>
      <c r="BE667" s="59">
        <v>56</v>
      </c>
      <c r="BF667" s="59">
        <v>1</v>
      </c>
      <c r="BG667" s="59">
        <v>0</v>
      </c>
      <c r="BH667" s="30">
        <f>SUM(BE667:BG667)</f>
        <v>57</v>
      </c>
      <c r="BI667" s="59">
        <v>2728279</v>
      </c>
      <c r="BJ667" s="342">
        <v>40157</v>
      </c>
      <c r="BK667" s="342">
        <v>40211</v>
      </c>
      <c r="BL667" s="320">
        <f>BK667-BJ667</f>
        <v>54</v>
      </c>
      <c r="BM667" s="62"/>
      <c r="BN667" s="10"/>
      <c r="BO667" s="8"/>
      <c r="BP667" s="62">
        <v>165</v>
      </c>
      <c r="BQ667" s="10"/>
      <c r="BR667" s="29">
        <v>2010</v>
      </c>
      <c r="BS667" s="64">
        <v>2009</v>
      </c>
      <c r="BT667" s="14">
        <v>23</v>
      </c>
      <c r="BU667" s="10"/>
      <c r="BV667" s="8">
        <v>0</v>
      </c>
      <c r="BW667" s="59">
        <v>0</v>
      </c>
      <c r="BX667" s="59">
        <v>0</v>
      </c>
      <c r="BY667" s="59">
        <v>0</v>
      </c>
      <c r="BZ667" s="59">
        <v>0</v>
      </c>
      <c r="CA667" s="59">
        <v>1</v>
      </c>
      <c r="CB667" s="59">
        <v>0</v>
      </c>
      <c r="CC667" s="221"/>
      <c r="CD667" s="59">
        <v>3</v>
      </c>
      <c r="CE667" s="59">
        <v>0</v>
      </c>
      <c r="CF667" s="221">
        <v>0</v>
      </c>
      <c r="CG667" s="59">
        <v>0</v>
      </c>
      <c r="CH667" s="59">
        <v>0</v>
      </c>
      <c r="CI667" s="59">
        <v>1</v>
      </c>
      <c r="CJ667" s="59">
        <v>3</v>
      </c>
      <c r="CK667" s="59"/>
      <c r="CL667" s="59">
        <v>0</v>
      </c>
      <c r="CM667" s="59">
        <v>0</v>
      </c>
      <c r="CN667" s="59">
        <v>0</v>
      </c>
      <c r="CO667" s="59">
        <v>3</v>
      </c>
      <c r="CP667" s="317"/>
      <c r="CQ667" s="59">
        <v>0</v>
      </c>
      <c r="CR667" s="59"/>
      <c r="CS667" s="59">
        <v>0</v>
      </c>
      <c r="CT667" s="59">
        <v>1</v>
      </c>
      <c r="CU667" s="222">
        <v>0</v>
      </c>
      <c r="CV667" s="59">
        <v>0</v>
      </c>
      <c r="CW667" s="59">
        <v>0</v>
      </c>
      <c r="CX667" s="59">
        <v>0</v>
      </c>
      <c r="CY667" s="59">
        <v>0</v>
      </c>
      <c r="CZ667" s="59">
        <v>0</v>
      </c>
      <c r="DA667" s="59">
        <v>0</v>
      </c>
      <c r="DB667" s="59">
        <v>0</v>
      </c>
      <c r="DC667" s="59">
        <v>0</v>
      </c>
      <c r="DD667" s="59">
        <v>0</v>
      </c>
      <c r="DE667" s="59">
        <v>0</v>
      </c>
      <c r="DF667" s="59">
        <v>0</v>
      </c>
      <c r="DG667" s="59">
        <v>1</v>
      </c>
      <c r="DH667" s="59">
        <v>0</v>
      </c>
      <c r="DI667" s="59">
        <v>1</v>
      </c>
      <c r="DJ667" s="59">
        <v>1</v>
      </c>
      <c r="DK667" s="59">
        <v>0</v>
      </c>
      <c r="DL667" s="222">
        <v>0</v>
      </c>
      <c r="DM667" s="59">
        <v>0</v>
      </c>
      <c r="DN667" s="59">
        <v>0</v>
      </c>
      <c r="DO667" s="59">
        <v>0</v>
      </c>
      <c r="DP667" s="59">
        <v>0</v>
      </c>
      <c r="DQ667" s="59">
        <v>0</v>
      </c>
      <c r="DR667" s="59"/>
      <c r="DS667" s="59">
        <v>0</v>
      </c>
      <c r="DT667" s="59">
        <v>0</v>
      </c>
      <c r="DU667" s="59">
        <v>0</v>
      </c>
      <c r="DV667" s="38">
        <f t="shared" si="320"/>
        <v>15</v>
      </c>
      <c r="DW667" s="14" t="str">
        <f t="shared" si="319"/>
        <v/>
      </c>
      <c r="DY667">
        <f t="shared" si="322"/>
        <v>15</v>
      </c>
    </row>
    <row r="668" spans="1:130" customFormat="1">
      <c r="A668" s="210">
        <v>40162</v>
      </c>
      <c r="B668" s="211"/>
      <c r="C668" s="61">
        <v>3</v>
      </c>
      <c r="D668" s="59">
        <v>38</v>
      </c>
      <c r="E668" s="59">
        <v>1</v>
      </c>
      <c r="F668" s="59">
        <v>0</v>
      </c>
      <c r="G668" s="59">
        <v>1</v>
      </c>
      <c r="H668" s="59">
        <v>0</v>
      </c>
      <c r="I668" s="59">
        <v>0</v>
      </c>
      <c r="J668" s="59">
        <v>14</v>
      </c>
      <c r="K668" s="59">
        <v>0</v>
      </c>
      <c r="L668" s="59">
        <v>0</v>
      </c>
      <c r="M668" s="59">
        <v>0</v>
      </c>
      <c r="N668" s="59">
        <v>0</v>
      </c>
      <c r="O668" s="59">
        <v>11</v>
      </c>
      <c r="P668" s="59">
        <v>15</v>
      </c>
      <c r="Q668" s="59">
        <v>0</v>
      </c>
      <c r="R668" s="59">
        <v>0</v>
      </c>
      <c r="S668" s="35">
        <f t="shared" si="321"/>
        <v>83</v>
      </c>
      <c r="T668" s="59"/>
      <c r="U668" s="59">
        <v>27</v>
      </c>
      <c r="V668" s="59">
        <v>22</v>
      </c>
      <c r="W668" s="59">
        <v>0</v>
      </c>
      <c r="X668" s="5">
        <v>0</v>
      </c>
      <c r="Y668" s="59"/>
      <c r="Z668" s="61">
        <v>160134</v>
      </c>
      <c r="AA668" s="101"/>
      <c r="AB668" s="101"/>
      <c r="AC668" s="61">
        <v>905903</v>
      </c>
      <c r="AD668" s="59"/>
      <c r="AE668" s="35">
        <f t="shared" si="318"/>
        <v>905903</v>
      </c>
      <c r="AF668" s="10"/>
      <c r="AG668" s="61">
        <v>102</v>
      </c>
      <c r="AH668" s="59">
        <v>1</v>
      </c>
      <c r="AI668" s="59">
        <v>116</v>
      </c>
      <c r="AJ668" s="62"/>
      <c r="AK668" s="10"/>
      <c r="AL668" s="8"/>
      <c r="AM668" s="10"/>
      <c r="AN668" s="35"/>
      <c r="AO668" s="279"/>
      <c r="AP668" s="279"/>
      <c r="AQ668" s="281"/>
      <c r="AR668" s="59">
        <v>135</v>
      </c>
      <c r="AS668" s="59">
        <v>93</v>
      </c>
      <c r="AT668" s="59">
        <v>149</v>
      </c>
      <c r="AU668" s="59">
        <v>16</v>
      </c>
      <c r="AV668" s="62">
        <v>307</v>
      </c>
      <c r="AW668" s="10"/>
      <c r="AX668" s="326">
        <v>40161</v>
      </c>
      <c r="AY668" s="5">
        <v>-1</v>
      </c>
      <c r="AZ668" s="10"/>
      <c r="BA668" s="61"/>
      <c r="BB668" s="59"/>
      <c r="BC668" s="59"/>
      <c r="BD668" s="59"/>
      <c r="BE668" s="59"/>
      <c r="BF668" s="59"/>
      <c r="BG668" s="59"/>
      <c r="BH668" s="351"/>
      <c r="BI668" s="59"/>
      <c r="BJ668" s="342"/>
      <c r="BK668" s="342"/>
      <c r="BL668" s="320"/>
      <c r="BM668" s="62"/>
      <c r="BN668" s="10"/>
      <c r="BO668" s="8"/>
      <c r="BP668" s="62"/>
      <c r="BQ668" s="10"/>
      <c r="BR668" s="29">
        <v>2010</v>
      </c>
      <c r="BS668" s="64">
        <v>2009</v>
      </c>
      <c r="BT668" s="14">
        <v>24</v>
      </c>
      <c r="BU668" s="10"/>
      <c r="BV668" s="8">
        <v>1</v>
      </c>
      <c r="BW668" s="59">
        <v>2</v>
      </c>
      <c r="BX668" s="59">
        <v>21</v>
      </c>
      <c r="BY668" s="59">
        <v>0</v>
      </c>
      <c r="BZ668" s="59">
        <v>0</v>
      </c>
      <c r="CA668" s="59">
        <v>0</v>
      </c>
      <c r="CB668" s="59">
        <v>0</v>
      </c>
      <c r="CC668" s="221"/>
      <c r="CD668" s="59">
        <v>11</v>
      </c>
      <c r="CE668" s="59">
        <v>0</v>
      </c>
      <c r="CF668" s="221">
        <v>0</v>
      </c>
      <c r="CG668" s="59">
        <v>0</v>
      </c>
      <c r="CH668" s="59">
        <v>0</v>
      </c>
      <c r="CI668" s="59">
        <v>0</v>
      </c>
      <c r="CJ668" s="59">
        <v>2</v>
      </c>
      <c r="CK668" s="59"/>
      <c r="CL668" s="59">
        <v>0</v>
      </c>
      <c r="CM668" s="59">
        <v>0</v>
      </c>
      <c r="CN668" s="59">
        <v>0</v>
      </c>
      <c r="CO668" s="59">
        <v>37</v>
      </c>
      <c r="CP668" s="317"/>
      <c r="CQ668" s="59">
        <v>0</v>
      </c>
      <c r="CR668" s="59"/>
      <c r="CS668" s="59">
        <v>0</v>
      </c>
      <c r="CT668" s="59">
        <v>3</v>
      </c>
      <c r="CU668" s="222">
        <v>0</v>
      </c>
      <c r="CV668" s="59">
        <v>0</v>
      </c>
      <c r="CW668" s="59">
        <v>0</v>
      </c>
      <c r="CX668" s="59">
        <v>0</v>
      </c>
      <c r="CY668" s="59">
        <v>3</v>
      </c>
      <c r="CZ668" s="59">
        <v>0</v>
      </c>
      <c r="DA668" s="59">
        <v>0</v>
      </c>
      <c r="DB668" s="59">
        <v>1</v>
      </c>
      <c r="DC668" s="59">
        <v>0</v>
      </c>
      <c r="DD668" s="59">
        <v>0</v>
      </c>
      <c r="DE668" s="59">
        <v>0</v>
      </c>
      <c r="DF668" s="59">
        <v>0</v>
      </c>
      <c r="DG668" s="59">
        <v>1</v>
      </c>
      <c r="DH668" s="59">
        <v>0</v>
      </c>
      <c r="DI668" s="59">
        <v>0</v>
      </c>
      <c r="DJ668" s="59">
        <v>0</v>
      </c>
      <c r="DK668" s="59">
        <v>0</v>
      </c>
      <c r="DL668" s="222">
        <v>0</v>
      </c>
      <c r="DM668" s="59">
        <v>1</v>
      </c>
      <c r="DN668" s="59">
        <v>0</v>
      </c>
      <c r="DO668" s="59">
        <v>0</v>
      </c>
      <c r="DP668" s="59">
        <v>0</v>
      </c>
      <c r="DQ668" s="59">
        <v>0</v>
      </c>
      <c r="DR668" s="59"/>
      <c r="DS668" s="59">
        <v>0</v>
      </c>
      <c r="DT668" s="59">
        <v>0</v>
      </c>
      <c r="DU668" s="59">
        <v>0</v>
      </c>
      <c r="DV668" s="38">
        <f t="shared" si="320"/>
        <v>83</v>
      </c>
      <c r="DW668" s="14" t="str">
        <f t="shared" si="319"/>
        <v/>
      </c>
      <c r="DY668">
        <f t="shared" si="322"/>
        <v>83</v>
      </c>
      <c r="DZ668" t="str">
        <f t="shared" ref="DZ668:DZ680" si="323">IF(DV668-DY668=0,"",DV668-DY668)</f>
        <v/>
      </c>
    </row>
    <row r="669" spans="1:130" customFormat="1">
      <c r="A669" s="210">
        <v>40179</v>
      </c>
      <c r="B669" s="211"/>
      <c r="C669" s="8">
        <v>2</v>
      </c>
      <c r="D669" s="59">
        <v>28</v>
      </c>
      <c r="E669" s="59">
        <v>0</v>
      </c>
      <c r="F669" s="59">
        <v>1</v>
      </c>
      <c r="G669" s="59">
        <v>1</v>
      </c>
      <c r="H669" s="59">
        <v>1</v>
      </c>
      <c r="I669" s="59">
        <v>0</v>
      </c>
      <c r="J669" s="59">
        <v>7</v>
      </c>
      <c r="K669" s="59">
        <v>0</v>
      </c>
      <c r="L669" s="59">
        <v>0</v>
      </c>
      <c r="M669" s="59">
        <v>0</v>
      </c>
      <c r="N669" s="59">
        <v>0</v>
      </c>
      <c r="O669" s="59">
        <v>5</v>
      </c>
      <c r="P669" s="59">
        <v>1</v>
      </c>
      <c r="Q669" s="59">
        <v>0</v>
      </c>
      <c r="R669" s="59">
        <v>0</v>
      </c>
      <c r="S669" s="35">
        <f t="shared" si="321"/>
        <v>46</v>
      </c>
      <c r="T669" s="59"/>
      <c r="U669" s="59">
        <v>10</v>
      </c>
      <c r="V669" s="59">
        <v>7</v>
      </c>
      <c r="W669" s="59">
        <v>0</v>
      </c>
      <c r="X669" s="62">
        <v>0</v>
      </c>
      <c r="Y669" s="10"/>
      <c r="Z669" s="61">
        <v>138409</v>
      </c>
      <c r="AA669" s="101"/>
      <c r="AB669" s="101"/>
      <c r="AC669" s="61">
        <v>491374</v>
      </c>
      <c r="AD669" s="59"/>
      <c r="AE669" s="35">
        <f t="shared" si="318"/>
        <v>491374</v>
      </c>
      <c r="AF669" s="10"/>
      <c r="AG669" s="61">
        <v>80</v>
      </c>
      <c r="AH669" s="59">
        <v>1</v>
      </c>
      <c r="AI669" s="59">
        <v>94</v>
      </c>
      <c r="AJ669" s="62"/>
      <c r="AK669" s="10"/>
      <c r="AL669" s="61">
        <v>0</v>
      </c>
      <c r="AM669" s="59">
        <v>39</v>
      </c>
      <c r="AN669" s="35">
        <f>SUM(AL669:AM669)</f>
        <v>39</v>
      </c>
      <c r="AO669" s="279"/>
      <c r="AP669" s="279"/>
      <c r="AQ669" s="281"/>
      <c r="AR669" s="59">
        <v>136</v>
      </c>
      <c r="AS669" s="59">
        <v>93</v>
      </c>
      <c r="AT669" s="59">
        <v>152</v>
      </c>
      <c r="AU669" s="59">
        <v>16</v>
      </c>
      <c r="AV669" s="62">
        <v>310</v>
      </c>
      <c r="AW669" s="10"/>
      <c r="AX669" s="326">
        <v>40177</v>
      </c>
      <c r="AY669" s="5">
        <v>-2</v>
      </c>
      <c r="AZ669" s="10"/>
      <c r="BA669" s="61">
        <v>1963</v>
      </c>
      <c r="BB669" s="59">
        <v>62835091</v>
      </c>
      <c r="BC669" s="59"/>
      <c r="BD669" s="59"/>
      <c r="BE669" s="59">
        <v>69</v>
      </c>
      <c r="BF669" s="59">
        <v>10</v>
      </c>
      <c r="BG669" s="59">
        <v>2</v>
      </c>
      <c r="BH669" s="30">
        <f>SUM(BE669:BG669)</f>
        <v>81</v>
      </c>
      <c r="BI669" s="59">
        <v>3886142</v>
      </c>
      <c r="BJ669" s="342">
        <v>40188</v>
      </c>
      <c r="BK669" s="342">
        <v>40219</v>
      </c>
      <c r="BL669" s="320">
        <f>BK669-BJ669</f>
        <v>31</v>
      </c>
      <c r="BM669" s="62"/>
      <c r="BN669" s="10"/>
      <c r="BO669" s="8"/>
      <c r="BP669" s="62">
        <v>165</v>
      </c>
      <c r="BQ669" s="10"/>
      <c r="BR669" s="29">
        <v>2010</v>
      </c>
      <c r="BS669" s="64">
        <v>2010</v>
      </c>
      <c r="BT669" s="14">
        <v>1</v>
      </c>
      <c r="BU669" s="10"/>
      <c r="BV669" s="8">
        <v>2</v>
      </c>
      <c r="BW669" s="59">
        <v>0</v>
      </c>
      <c r="BX669" s="59">
        <v>0</v>
      </c>
      <c r="BY669" s="59">
        <v>0</v>
      </c>
      <c r="BZ669" s="59">
        <v>0</v>
      </c>
      <c r="CA669" s="59">
        <v>0</v>
      </c>
      <c r="CB669" s="59">
        <v>0</v>
      </c>
      <c r="CC669" s="221"/>
      <c r="CD669" s="59">
        <v>6</v>
      </c>
      <c r="CE669" s="59">
        <v>1</v>
      </c>
      <c r="CF669" s="221">
        <v>0</v>
      </c>
      <c r="CG669" s="59">
        <v>0</v>
      </c>
      <c r="CH669" s="59">
        <v>0</v>
      </c>
      <c r="CI669" s="59">
        <v>3</v>
      </c>
      <c r="CJ669" s="59">
        <v>2</v>
      </c>
      <c r="CK669" s="59"/>
      <c r="CL669" s="59">
        <v>0</v>
      </c>
      <c r="CM669" s="59">
        <v>0</v>
      </c>
      <c r="CN669" s="59">
        <v>1</v>
      </c>
      <c r="CO669" s="59">
        <v>10</v>
      </c>
      <c r="CP669" s="317"/>
      <c r="CQ669" s="59">
        <v>0</v>
      </c>
      <c r="CR669" s="59"/>
      <c r="CS669" s="59">
        <v>1</v>
      </c>
      <c r="CT669" s="59">
        <v>9</v>
      </c>
      <c r="CU669" s="222">
        <v>0</v>
      </c>
      <c r="CV669" s="59">
        <v>2</v>
      </c>
      <c r="CW669" s="59">
        <v>0</v>
      </c>
      <c r="CX669" s="59">
        <v>0</v>
      </c>
      <c r="CY669" s="59">
        <v>0</v>
      </c>
      <c r="CZ669" s="59">
        <v>0</v>
      </c>
      <c r="DA669" s="59">
        <v>0</v>
      </c>
      <c r="DB669" s="59">
        <v>5</v>
      </c>
      <c r="DC669" s="59">
        <v>0</v>
      </c>
      <c r="DD669" s="59">
        <v>0</v>
      </c>
      <c r="DE669" s="59">
        <v>0</v>
      </c>
      <c r="DF669" s="59">
        <v>0</v>
      </c>
      <c r="DG669" s="59">
        <v>0</v>
      </c>
      <c r="DH669" s="59">
        <v>2</v>
      </c>
      <c r="DI669" s="59">
        <v>0</v>
      </c>
      <c r="DJ669" s="59">
        <v>0</v>
      </c>
      <c r="DK669" s="59">
        <v>0</v>
      </c>
      <c r="DL669" s="222">
        <v>0</v>
      </c>
      <c r="DM669" s="59">
        <v>0</v>
      </c>
      <c r="DN669" s="59">
        <v>0</v>
      </c>
      <c r="DO669" s="59">
        <v>1</v>
      </c>
      <c r="DP669" s="59">
        <v>0</v>
      </c>
      <c r="DQ669" s="59">
        <v>0</v>
      </c>
      <c r="DR669" s="59"/>
      <c r="DS669" s="59">
        <v>1</v>
      </c>
      <c r="DT669" s="59">
        <v>0</v>
      </c>
      <c r="DU669" s="59">
        <v>0</v>
      </c>
      <c r="DV669" s="38">
        <f t="shared" si="320"/>
        <v>46</v>
      </c>
      <c r="DW669" s="14" t="str">
        <f t="shared" si="319"/>
        <v/>
      </c>
      <c r="DY669">
        <f t="shared" si="322"/>
        <v>46</v>
      </c>
      <c r="DZ669" t="str">
        <f t="shared" si="323"/>
        <v/>
      </c>
    </row>
    <row r="670" spans="1:130" customFormat="1">
      <c r="A670" s="210">
        <v>40193</v>
      </c>
      <c r="B670" s="211"/>
      <c r="C670" s="8">
        <v>1</v>
      </c>
      <c r="D670" s="59">
        <v>6</v>
      </c>
      <c r="E670" s="59">
        <v>0</v>
      </c>
      <c r="F670" s="59">
        <v>1</v>
      </c>
      <c r="G670" s="59">
        <v>1</v>
      </c>
      <c r="H670" s="59">
        <v>1</v>
      </c>
      <c r="I670" s="59">
        <v>0</v>
      </c>
      <c r="J670" s="59">
        <v>9</v>
      </c>
      <c r="K670" s="59">
        <v>0</v>
      </c>
      <c r="L670" s="59">
        <v>0</v>
      </c>
      <c r="M670" s="59">
        <v>0</v>
      </c>
      <c r="N670" s="59">
        <v>0</v>
      </c>
      <c r="O670" s="59">
        <v>2</v>
      </c>
      <c r="P670" s="59">
        <v>0</v>
      </c>
      <c r="Q670" s="59">
        <v>0</v>
      </c>
      <c r="R670" s="59">
        <v>0</v>
      </c>
      <c r="S670" s="35">
        <f t="shared" si="321"/>
        <v>21</v>
      </c>
      <c r="T670" s="59"/>
      <c r="U670" s="59">
        <v>7</v>
      </c>
      <c r="V670" s="59">
        <v>6</v>
      </c>
      <c r="W670" s="59">
        <v>0</v>
      </c>
      <c r="X670" s="62">
        <v>0</v>
      </c>
      <c r="Y670" s="10"/>
      <c r="Z670" s="61">
        <v>275849</v>
      </c>
      <c r="AA670" s="101"/>
      <c r="AB670" s="101"/>
      <c r="AC670" s="61">
        <v>360864</v>
      </c>
      <c r="AD670" s="59"/>
      <c r="AE670" s="35">
        <f t="shared" si="318"/>
        <v>360864</v>
      </c>
      <c r="AF670" s="10"/>
      <c r="AG670" s="61">
        <v>56</v>
      </c>
      <c r="AH670" s="59">
        <v>103</v>
      </c>
      <c r="AI670" s="59">
        <v>176</v>
      </c>
      <c r="AJ670" s="62"/>
      <c r="AK670" s="10"/>
      <c r="AL670" s="8"/>
      <c r="AM670" s="10"/>
      <c r="AN670" s="35"/>
      <c r="AO670" s="279"/>
      <c r="AP670" s="279"/>
      <c r="AQ670" s="281"/>
      <c r="AR670" s="59">
        <v>136</v>
      </c>
      <c r="AS670" s="59">
        <v>92</v>
      </c>
      <c r="AT670" s="59">
        <v>153</v>
      </c>
      <c r="AU670" s="59">
        <v>16</v>
      </c>
      <c r="AV670" s="62">
        <v>310</v>
      </c>
      <c r="AW670" s="10"/>
      <c r="AX670" s="326">
        <v>40192</v>
      </c>
      <c r="AY670" s="5">
        <v>-1</v>
      </c>
      <c r="AZ670" s="10"/>
      <c r="BA670" s="61"/>
      <c r="BB670" s="59"/>
      <c r="BC670" s="59"/>
      <c r="BD670" s="59"/>
      <c r="BE670" s="59"/>
      <c r="BF670" s="59"/>
      <c r="BG670" s="59"/>
      <c r="BH670" s="351"/>
      <c r="BI670" s="59"/>
      <c r="BJ670" s="342"/>
      <c r="BK670" s="342"/>
      <c r="BL670" s="320"/>
      <c r="BM670" s="62"/>
      <c r="BN670" s="10"/>
      <c r="BO670" s="8"/>
      <c r="BP670" s="62"/>
      <c r="BQ670" s="10"/>
      <c r="BR670" s="29">
        <v>2010</v>
      </c>
      <c r="BS670" s="64">
        <v>2010</v>
      </c>
      <c r="BT670" s="14">
        <v>2</v>
      </c>
      <c r="BU670" s="10"/>
      <c r="BV670" s="8">
        <v>0</v>
      </c>
      <c r="BW670" s="59">
        <v>0</v>
      </c>
      <c r="BX670" s="59">
        <v>0</v>
      </c>
      <c r="BY670" s="59">
        <v>0</v>
      </c>
      <c r="BZ670" s="59">
        <v>0</v>
      </c>
      <c r="CA670" s="59">
        <v>1</v>
      </c>
      <c r="CB670" s="59">
        <v>0</v>
      </c>
      <c r="CC670" s="221"/>
      <c r="CD670" s="59">
        <v>1</v>
      </c>
      <c r="CE670" s="59">
        <v>0</v>
      </c>
      <c r="CF670" s="221">
        <v>0</v>
      </c>
      <c r="CG670" s="59">
        <v>0</v>
      </c>
      <c r="CH670" s="59">
        <v>0</v>
      </c>
      <c r="CI670" s="59">
        <v>0</v>
      </c>
      <c r="CJ670" s="59">
        <v>1</v>
      </c>
      <c r="CK670" s="59"/>
      <c r="CL670" s="59">
        <v>0</v>
      </c>
      <c r="CM670" s="59">
        <v>0</v>
      </c>
      <c r="CN670" s="59">
        <v>0</v>
      </c>
      <c r="CO670" s="59">
        <v>3</v>
      </c>
      <c r="CP670" s="317"/>
      <c r="CQ670" s="59">
        <v>0</v>
      </c>
      <c r="CR670" s="59"/>
      <c r="CS670" s="59">
        <v>0</v>
      </c>
      <c r="CT670" s="59">
        <v>2</v>
      </c>
      <c r="CU670" s="222">
        <v>0</v>
      </c>
      <c r="CV670" s="59">
        <v>4</v>
      </c>
      <c r="CW670" s="59">
        <v>0</v>
      </c>
      <c r="CX670" s="59">
        <v>1</v>
      </c>
      <c r="CY670" s="59">
        <v>2</v>
      </c>
      <c r="CZ670" s="59">
        <v>0</v>
      </c>
      <c r="DA670" s="59">
        <v>0</v>
      </c>
      <c r="DB670" s="59">
        <v>1</v>
      </c>
      <c r="DC670" s="59">
        <v>0</v>
      </c>
      <c r="DD670" s="59">
        <v>0</v>
      </c>
      <c r="DE670" s="59">
        <v>0</v>
      </c>
      <c r="DF670" s="59">
        <v>0</v>
      </c>
      <c r="DG670" s="59">
        <v>0</v>
      </c>
      <c r="DH670" s="59">
        <v>0</v>
      </c>
      <c r="DI670" s="59">
        <v>1</v>
      </c>
      <c r="DJ670" s="59">
        <v>1</v>
      </c>
      <c r="DK670" s="59">
        <v>0</v>
      </c>
      <c r="DL670" s="222">
        <v>0</v>
      </c>
      <c r="DM670" s="59">
        <v>1</v>
      </c>
      <c r="DN670" s="59">
        <v>0</v>
      </c>
      <c r="DO670" s="59">
        <v>0</v>
      </c>
      <c r="DP670" s="59">
        <v>0</v>
      </c>
      <c r="DQ670" s="59">
        <v>0</v>
      </c>
      <c r="DR670" s="59"/>
      <c r="DS670" s="59">
        <v>2</v>
      </c>
      <c r="DT670" s="59">
        <v>0</v>
      </c>
      <c r="DU670" s="59">
        <v>0</v>
      </c>
      <c r="DV670" s="38">
        <f t="shared" si="320"/>
        <v>21</v>
      </c>
      <c r="DW670" s="14" t="str">
        <f t="shared" si="319"/>
        <v/>
      </c>
      <c r="DY670">
        <f t="shared" si="322"/>
        <v>21</v>
      </c>
      <c r="DZ670" t="str">
        <f t="shared" si="323"/>
        <v/>
      </c>
    </row>
    <row r="671" spans="1:130" customFormat="1">
      <c r="A671" s="210">
        <v>40210</v>
      </c>
      <c r="B671" s="211"/>
      <c r="C671" s="61">
        <v>4</v>
      </c>
      <c r="D671" s="59">
        <v>6</v>
      </c>
      <c r="E671" s="59">
        <v>1</v>
      </c>
      <c r="F671" s="59">
        <v>1</v>
      </c>
      <c r="G671" s="59">
        <v>1</v>
      </c>
      <c r="H671" s="59">
        <v>1</v>
      </c>
      <c r="I671" s="59">
        <v>0</v>
      </c>
      <c r="J671" s="59">
        <v>14</v>
      </c>
      <c r="K671" s="59">
        <v>0</v>
      </c>
      <c r="L671" s="59">
        <v>0</v>
      </c>
      <c r="M671" s="59">
        <v>0</v>
      </c>
      <c r="N671" s="59">
        <v>0</v>
      </c>
      <c r="O671" s="59">
        <v>4</v>
      </c>
      <c r="P671" s="59">
        <v>0</v>
      </c>
      <c r="Q671" s="59">
        <v>0</v>
      </c>
      <c r="R671" s="59">
        <v>0</v>
      </c>
      <c r="S671" s="35">
        <f t="shared" si="321"/>
        <v>32</v>
      </c>
      <c r="T671" s="59"/>
      <c r="U671" s="59">
        <v>9</v>
      </c>
      <c r="V671" s="59">
        <v>8</v>
      </c>
      <c r="W671" s="59">
        <v>0</v>
      </c>
      <c r="X671" s="62">
        <v>0</v>
      </c>
      <c r="Y671" s="10"/>
      <c r="Z671" s="61">
        <v>171674</v>
      </c>
      <c r="AA671" s="101"/>
      <c r="AB671" s="101"/>
      <c r="AC671" s="61">
        <v>530134</v>
      </c>
      <c r="AD671" s="59"/>
      <c r="AE671" s="35">
        <f t="shared" si="318"/>
        <v>530134</v>
      </c>
      <c r="AF671" s="10"/>
      <c r="AG671" s="61">
        <v>84</v>
      </c>
      <c r="AH671" s="59">
        <v>1</v>
      </c>
      <c r="AI671" s="59">
        <v>104</v>
      </c>
      <c r="AJ671" s="62"/>
      <c r="AK671" s="10"/>
      <c r="AL671" s="8"/>
      <c r="AM671" s="10"/>
      <c r="AN671" s="35"/>
      <c r="AO671" s="279"/>
      <c r="AP671" s="279"/>
      <c r="AQ671" s="281"/>
      <c r="AR671" s="59">
        <v>137</v>
      </c>
      <c r="AS671" s="59">
        <v>91</v>
      </c>
      <c r="AT671" s="59">
        <v>153</v>
      </c>
      <c r="AU671" s="59">
        <v>16</v>
      </c>
      <c r="AV671" s="62">
        <v>309</v>
      </c>
      <c r="AW671" s="10"/>
      <c r="AX671" s="326">
        <v>40207</v>
      </c>
      <c r="AY671" s="5">
        <v>-3</v>
      </c>
      <c r="AZ671" s="10"/>
      <c r="BA671" s="61">
        <v>1971</v>
      </c>
      <c r="BB671" s="59">
        <v>63565763</v>
      </c>
      <c r="BC671" s="59"/>
      <c r="BD671" s="59"/>
      <c r="BE671" s="59">
        <v>73</v>
      </c>
      <c r="BF671" s="59">
        <v>8</v>
      </c>
      <c r="BG671" s="59">
        <v>0</v>
      </c>
      <c r="BH671" s="30">
        <f>SUM(BE671:BG671)</f>
        <v>81</v>
      </c>
      <c r="BI671" s="59">
        <v>4260191</v>
      </c>
      <c r="BJ671" s="342">
        <v>40219</v>
      </c>
      <c r="BK671" s="342">
        <v>40233</v>
      </c>
      <c r="BL671" s="320">
        <f>BK671-BJ671</f>
        <v>14</v>
      </c>
      <c r="BM671" s="62"/>
      <c r="BN671" s="10"/>
      <c r="BO671" s="8"/>
      <c r="BP671" s="62">
        <v>166</v>
      </c>
      <c r="BQ671" s="10"/>
      <c r="BR671" s="29">
        <v>2010</v>
      </c>
      <c r="BS671" s="64">
        <v>2010</v>
      </c>
      <c r="BT671" s="14">
        <v>3</v>
      </c>
      <c r="BU671" s="10"/>
      <c r="BV671" s="8">
        <v>2</v>
      </c>
      <c r="BW671" s="59">
        <v>5</v>
      </c>
      <c r="BX671" s="59">
        <v>0</v>
      </c>
      <c r="BY671" s="59">
        <v>0</v>
      </c>
      <c r="BZ671" s="59">
        <v>0</v>
      </c>
      <c r="CA671" s="59">
        <v>0</v>
      </c>
      <c r="CB671" s="59">
        <v>0</v>
      </c>
      <c r="CC671" s="221"/>
      <c r="CD671" s="59">
        <v>4</v>
      </c>
      <c r="CE671" s="59">
        <v>0</v>
      </c>
      <c r="CF671" s="221">
        <v>0</v>
      </c>
      <c r="CG671" s="59">
        <v>0</v>
      </c>
      <c r="CH671" s="59">
        <v>0</v>
      </c>
      <c r="CI671" s="59">
        <v>0</v>
      </c>
      <c r="CJ671" s="59">
        <v>4</v>
      </c>
      <c r="CK671" s="59"/>
      <c r="CL671" s="59">
        <v>0</v>
      </c>
      <c r="CM671" s="59">
        <v>0</v>
      </c>
      <c r="CN671" s="59">
        <v>0</v>
      </c>
      <c r="CO671" s="59">
        <v>1</v>
      </c>
      <c r="CP671" s="317"/>
      <c r="CQ671" s="59">
        <v>0</v>
      </c>
      <c r="CR671" s="59"/>
      <c r="CS671" s="59">
        <v>0</v>
      </c>
      <c r="CT671" s="59">
        <v>1</v>
      </c>
      <c r="CU671" s="222">
        <v>0</v>
      </c>
      <c r="CV671" s="59">
        <v>5</v>
      </c>
      <c r="CW671" s="59">
        <v>4</v>
      </c>
      <c r="CX671" s="59">
        <v>0</v>
      </c>
      <c r="CY671" s="59">
        <v>2</v>
      </c>
      <c r="CZ671" s="59">
        <v>0</v>
      </c>
      <c r="DA671" s="59">
        <v>0</v>
      </c>
      <c r="DB671" s="59">
        <v>1</v>
      </c>
      <c r="DC671" s="59">
        <v>0</v>
      </c>
      <c r="DD671" s="59">
        <v>0</v>
      </c>
      <c r="DE671" s="59">
        <v>0</v>
      </c>
      <c r="DF671" s="59">
        <v>0</v>
      </c>
      <c r="DG671" s="59">
        <v>0</v>
      </c>
      <c r="DH671" s="59">
        <v>0</v>
      </c>
      <c r="DI671" s="59">
        <v>0</v>
      </c>
      <c r="DJ671" s="59">
        <v>0</v>
      </c>
      <c r="DK671" s="59">
        <v>0</v>
      </c>
      <c r="DL671" s="222">
        <v>0</v>
      </c>
      <c r="DM671" s="59">
        <v>1</v>
      </c>
      <c r="DN671" s="59">
        <v>0</v>
      </c>
      <c r="DO671" s="59">
        <v>2</v>
      </c>
      <c r="DP671" s="59">
        <v>0</v>
      </c>
      <c r="DQ671" s="59">
        <v>0</v>
      </c>
      <c r="DR671" s="59"/>
      <c r="DS671" s="59">
        <v>0</v>
      </c>
      <c r="DT671" s="59">
        <v>0</v>
      </c>
      <c r="DU671" s="59">
        <v>0</v>
      </c>
      <c r="DV671" s="38">
        <f t="shared" si="320"/>
        <v>32</v>
      </c>
      <c r="DW671" s="14" t="str">
        <f t="shared" si="319"/>
        <v/>
      </c>
      <c r="DY671">
        <f t="shared" si="322"/>
        <v>32</v>
      </c>
      <c r="DZ671" t="str">
        <f t="shared" si="323"/>
        <v/>
      </c>
    </row>
    <row r="672" spans="1:130" customFormat="1">
      <c r="A672" s="210">
        <v>40224</v>
      </c>
      <c r="B672" s="211"/>
      <c r="C672" s="61">
        <v>0</v>
      </c>
      <c r="D672" s="59">
        <v>20</v>
      </c>
      <c r="E672" s="59">
        <v>0</v>
      </c>
      <c r="F672" s="59">
        <v>2</v>
      </c>
      <c r="G672" s="59">
        <v>3</v>
      </c>
      <c r="H672" s="59">
        <v>0</v>
      </c>
      <c r="I672" s="59">
        <v>0</v>
      </c>
      <c r="J672" s="59">
        <v>6</v>
      </c>
      <c r="K672" s="59">
        <v>0</v>
      </c>
      <c r="L672" s="59">
        <v>0</v>
      </c>
      <c r="M672" s="59">
        <v>0</v>
      </c>
      <c r="N672" s="59">
        <v>0</v>
      </c>
      <c r="O672" s="59">
        <v>2</v>
      </c>
      <c r="P672" s="59">
        <v>1</v>
      </c>
      <c r="Q672" s="59">
        <v>0</v>
      </c>
      <c r="R672" s="59">
        <v>0</v>
      </c>
      <c r="S672" s="35">
        <f t="shared" si="321"/>
        <v>34</v>
      </c>
      <c r="T672" s="59"/>
      <c r="U672" s="59">
        <v>6</v>
      </c>
      <c r="V672" s="59">
        <v>6</v>
      </c>
      <c r="W672" s="59">
        <v>0</v>
      </c>
      <c r="X672" s="62">
        <v>0</v>
      </c>
      <c r="Y672" s="10"/>
      <c r="Z672" s="61">
        <v>142929</v>
      </c>
      <c r="AA672" s="101"/>
      <c r="AB672" s="101"/>
      <c r="AC672" s="61">
        <v>648275</v>
      </c>
      <c r="AD672" s="59"/>
      <c r="AE672" s="35">
        <f t="shared" si="318"/>
        <v>648275</v>
      </c>
      <c r="AF672" s="10"/>
      <c r="AG672" s="61">
        <v>67</v>
      </c>
      <c r="AH672" s="59">
        <v>1</v>
      </c>
      <c r="AI672" s="59">
        <v>92</v>
      </c>
      <c r="AJ672" s="62"/>
      <c r="AK672" s="10"/>
      <c r="AL672" s="8"/>
      <c r="AM672" s="10"/>
      <c r="AN672" s="35"/>
      <c r="AO672" s="279"/>
      <c r="AP672" s="279"/>
      <c r="AQ672" s="281"/>
      <c r="AR672" s="59">
        <v>137</v>
      </c>
      <c r="AS672" s="59">
        <v>91</v>
      </c>
      <c r="AT672" s="59">
        <v>153</v>
      </c>
      <c r="AU672" s="59">
        <v>16</v>
      </c>
      <c r="AV672" s="62">
        <v>309</v>
      </c>
      <c r="AW672" s="10"/>
      <c r="AX672" s="326">
        <v>40221</v>
      </c>
      <c r="AY672" s="5">
        <v>-3</v>
      </c>
      <c r="AZ672" s="10"/>
      <c r="BA672" s="61"/>
      <c r="BB672" s="59"/>
      <c r="BC672" s="59"/>
      <c r="BD672" s="59"/>
      <c r="BE672" s="59"/>
      <c r="BF672" s="59"/>
      <c r="BG672" s="59"/>
      <c r="BH672" s="351"/>
      <c r="BI672" s="59"/>
      <c r="BJ672" s="342"/>
      <c r="BK672" s="342"/>
      <c r="BL672" s="320"/>
      <c r="BM672" s="62"/>
      <c r="BN672" s="10"/>
      <c r="BO672" s="8"/>
      <c r="BP672" s="62"/>
      <c r="BQ672" s="10"/>
      <c r="BR672" s="29">
        <v>2010</v>
      </c>
      <c r="BS672" s="64">
        <v>2010</v>
      </c>
      <c r="BT672" s="14">
        <v>4</v>
      </c>
      <c r="BU672" s="10"/>
      <c r="BV672" s="8">
        <v>2</v>
      </c>
      <c r="BW672" s="59">
        <v>1</v>
      </c>
      <c r="BX672" s="59">
        <v>1</v>
      </c>
      <c r="BY672" s="59">
        <v>0</v>
      </c>
      <c r="BZ672" s="59">
        <v>0</v>
      </c>
      <c r="CA672" s="59">
        <v>0</v>
      </c>
      <c r="CB672" s="59">
        <v>0</v>
      </c>
      <c r="CC672" s="221"/>
      <c r="CD672" s="59">
        <v>1</v>
      </c>
      <c r="CE672" s="59">
        <v>0</v>
      </c>
      <c r="CF672" s="221">
        <v>0</v>
      </c>
      <c r="CG672" s="59">
        <v>0</v>
      </c>
      <c r="CH672" s="59">
        <v>0</v>
      </c>
      <c r="CI672" s="59">
        <v>0</v>
      </c>
      <c r="CJ672" s="59">
        <v>2</v>
      </c>
      <c r="CK672" s="59"/>
      <c r="CL672" s="59">
        <v>0</v>
      </c>
      <c r="CM672" s="59">
        <v>0</v>
      </c>
      <c r="CN672" s="59">
        <v>0</v>
      </c>
      <c r="CO672" s="59">
        <v>6</v>
      </c>
      <c r="CP672" s="317"/>
      <c r="CQ672" s="59">
        <v>0</v>
      </c>
      <c r="CR672" s="59"/>
      <c r="CS672" s="59">
        <v>0</v>
      </c>
      <c r="CT672" s="59">
        <v>2</v>
      </c>
      <c r="CU672" s="222">
        <v>0</v>
      </c>
      <c r="CV672" s="59">
        <v>1</v>
      </c>
      <c r="CW672" s="59">
        <v>0</v>
      </c>
      <c r="CX672" s="59">
        <v>0</v>
      </c>
      <c r="CY672" s="59">
        <v>1</v>
      </c>
      <c r="CZ672" s="59">
        <v>0</v>
      </c>
      <c r="DA672" s="59">
        <v>1</v>
      </c>
      <c r="DB672" s="59">
        <v>4</v>
      </c>
      <c r="DC672" s="59">
        <v>0</v>
      </c>
      <c r="DD672" s="59">
        <v>0</v>
      </c>
      <c r="DE672" s="59">
        <v>0</v>
      </c>
      <c r="DF672" s="59">
        <v>0</v>
      </c>
      <c r="DG672" s="59">
        <v>3</v>
      </c>
      <c r="DH672" s="59">
        <v>0</v>
      </c>
      <c r="DI672" s="59">
        <v>0</v>
      </c>
      <c r="DJ672" s="59">
        <v>0</v>
      </c>
      <c r="DK672" s="59">
        <v>0</v>
      </c>
      <c r="DL672" s="222">
        <v>0</v>
      </c>
      <c r="DM672" s="59">
        <v>5</v>
      </c>
      <c r="DN672" s="59">
        <v>1</v>
      </c>
      <c r="DO672" s="59">
        <v>0</v>
      </c>
      <c r="DP672" s="59">
        <v>0</v>
      </c>
      <c r="DQ672" s="59">
        <v>0</v>
      </c>
      <c r="DR672" s="59"/>
      <c r="DS672" s="59">
        <v>3</v>
      </c>
      <c r="DT672" s="59">
        <v>0</v>
      </c>
      <c r="DU672" s="59">
        <v>0</v>
      </c>
      <c r="DV672" s="38">
        <f t="shared" si="320"/>
        <v>34</v>
      </c>
      <c r="DW672" s="14" t="str">
        <f t="shared" si="319"/>
        <v/>
      </c>
      <c r="DY672">
        <f t="shared" si="322"/>
        <v>34</v>
      </c>
      <c r="DZ672" t="str">
        <f t="shared" si="323"/>
        <v/>
      </c>
    </row>
    <row r="673" spans="1:130" customFormat="1">
      <c r="A673" s="210">
        <v>40238</v>
      </c>
      <c r="B673" s="211"/>
      <c r="C673" s="61">
        <v>1</v>
      </c>
      <c r="D673" s="59">
        <v>9</v>
      </c>
      <c r="E673" s="59">
        <v>10</v>
      </c>
      <c r="F673" s="59">
        <v>0</v>
      </c>
      <c r="G673" s="59">
        <v>1</v>
      </c>
      <c r="H673" s="59">
        <v>1</v>
      </c>
      <c r="I673" s="59">
        <v>0</v>
      </c>
      <c r="J673" s="59">
        <v>4</v>
      </c>
      <c r="K673" s="59">
        <v>3</v>
      </c>
      <c r="L673" s="59">
        <v>0</v>
      </c>
      <c r="M673" s="59">
        <v>0</v>
      </c>
      <c r="N673" s="59">
        <v>0</v>
      </c>
      <c r="O673" s="59">
        <v>2</v>
      </c>
      <c r="P673" s="59">
        <v>1</v>
      </c>
      <c r="Q673" s="59">
        <v>0</v>
      </c>
      <c r="R673" s="59">
        <v>0</v>
      </c>
      <c r="S673" s="35">
        <f t="shared" si="321"/>
        <v>32</v>
      </c>
      <c r="T673" s="59"/>
      <c r="U673" s="59">
        <v>2</v>
      </c>
      <c r="V673" s="59">
        <v>2</v>
      </c>
      <c r="W673" s="59">
        <v>0</v>
      </c>
      <c r="X673" s="62">
        <v>0</v>
      </c>
      <c r="Y673" s="10"/>
      <c r="Z673" s="61">
        <v>155826</v>
      </c>
      <c r="AA673" s="101"/>
      <c r="AB673" s="101"/>
      <c r="AC673" s="61">
        <v>418577</v>
      </c>
      <c r="AD673" s="59"/>
      <c r="AE673" s="35">
        <f t="shared" si="318"/>
        <v>418577</v>
      </c>
      <c r="AF673" s="10"/>
      <c r="AG673" s="61">
        <v>73</v>
      </c>
      <c r="AH673" s="59">
        <v>17</v>
      </c>
      <c r="AI673" s="59">
        <v>100</v>
      </c>
      <c r="AJ673" s="62"/>
      <c r="AK673" s="10"/>
      <c r="AL673" s="8"/>
      <c r="AM673" s="10"/>
      <c r="AN673" s="35"/>
      <c r="AO673" s="279"/>
      <c r="AP673" s="279"/>
      <c r="AQ673" s="281"/>
      <c r="AR673" s="59">
        <v>140</v>
      </c>
      <c r="AS673" s="59"/>
      <c r="AT673" s="59"/>
      <c r="AU673" s="59"/>
      <c r="AV673" s="62"/>
      <c r="AW673" s="10"/>
      <c r="AX673" s="326">
        <v>40235</v>
      </c>
      <c r="AY673" s="5">
        <v>-3</v>
      </c>
      <c r="AZ673" s="10"/>
      <c r="BA673" s="61">
        <v>1975</v>
      </c>
      <c r="BB673" s="59">
        <v>64084643</v>
      </c>
      <c r="BC673" s="59"/>
      <c r="BD673" s="59"/>
      <c r="BE673" s="59">
        <v>54</v>
      </c>
      <c r="BF673" s="59">
        <v>4</v>
      </c>
      <c r="BG673" s="59">
        <v>3</v>
      </c>
      <c r="BH673" s="30">
        <f>SUM(BE673:BG673)</f>
        <v>61</v>
      </c>
      <c r="BI673" s="59">
        <v>2851881</v>
      </c>
      <c r="BJ673" s="342">
        <v>40247</v>
      </c>
      <c r="BK673" s="342">
        <v>40246</v>
      </c>
      <c r="BL673" s="320">
        <f>BK673-BJ673</f>
        <v>-1</v>
      </c>
      <c r="BM673" s="62"/>
      <c r="BN673" s="10"/>
      <c r="BO673" s="8"/>
      <c r="BP673" s="62">
        <v>166</v>
      </c>
      <c r="BQ673" s="10"/>
      <c r="BR673" s="29">
        <v>2010</v>
      </c>
      <c r="BS673" s="64">
        <v>2010</v>
      </c>
      <c r="BT673" s="14">
        <v>5</v>
      </c>
      <c r="BU673" s="10"/>
      <c r="BV673" s="8">
        <v>1</v>
      </c>
      <c r="BW673" s="59">
        <v>0</v>
      </c>
      <c r="BX673" s="59">
        <v>0</v>
      </c>
      <c r="BY673" s="59">
        <v>0</v>
      </c>
      <c r="BZ673" s="59">
        <v>0</v>
      </c>
      <c r="CA673" s="59">
        <v>3</v>
      </c>
      <c r="CB673" s="59">
        <v>0</v>
      </c>
      <c r="CC673" s="221"/>
      <c r="CD673" s="59">
        <v>13</v>
      </c>
      <c r="CE673" s="59">
        <v>0</v>
      </c>
      <c r="CF673" s="221">
        <v>0</v>
      </c>
      <c r="CG673" s="59">
        <v>0</v>
      </c>
      <c r="CH673" s="59">
        <v>0</v>
      </c>
      <c r="CI673" s="59">
        <v>0</v>
      </c>
      <c r="CJ673" s="59">
        <v>3</v>
      </c>
      <c r="CK673" s="59"/>
      <c r="CL673" s="59">
        <v>0</v>
      </c>
      <c r="CM673" s="59">
        <v>0</v>
      </c>
      <c r="CN673" s="59">
        <v>0</v>
      </c>
      <c r="CO673" s="59">
        <v>0</v>
      </c>
      <c r="CP673" s="317"/>
      <c r="CQ673" s="59">
        <v>0</v>
      </c>
      <c r="CR673" s="59"/>
      <c r="CS673" s="59">
        <v>0</v>
      </c>
      <c r="CT673" s="59">
        <v>0</v>
      </c>
      <c r="CU673" s="222">
        <v>0</v>
      </c>
      <c r="CV673" s="59">
        <v>2</v>
      </c>
      <c r="CW673" s="59">
        <v>0</v>
      </c>
      <c r="CX673" s="59">
        <v>1</v>
      </c>
      <c r="CY673" s="59">
        <v>1</v>
      </c>
      <c r="CZ673" s="59">
        <v>0</v>
      </c>
      <c r="DA673" s="59">
        <v>0</v>
      </c>
      <c r="DB673" s="59">
        <v>3</v>
      </c>
      <c r="DC673" s="59">
        <v>1</v>
      </c>
      <c r="DD673" s="59">
        <v>0</v>
      </c>
      <c r="DE673" s="59">
        <v>0</v>
      </c>
      <c r="DF673" s="59">
        <v>0</v>
      </c>
      <c r="DG673" s="59">
        <v>0</v>
      </c>
      <c r="DH673" s="59">
        <v>0</v>
      </c>
      <c r="DI673" s="59">
        <v>0</v>
      </c>
      <c r="DJ673" s="59">
        <v>0</v>
      </c>
      <c r="DK673" s="59">
        <v>0</v>
      </c>
      <c r="DL673" s="222">
        <v>0</v>
      </c>
      <c r="DM673" s="59">
        <v>1</v>
      </c>
      <c r="DN673" s="59">
        <v>0</v>
      </c>
      <c r="DO673" s="59">
        <v>0</v>
      </c>
      <c r="DP673" s="59">
        <v>2</v>
      </c>
      <c r="DQ673" s="59">
        <v>0</v>
      </c>
      <c r="DR673" s="59"/>
      <c r="DS673" s="59">
        <v>1</v>
      </c>
      <c r="DT673" s="59">
        <v>0</v>
      </c>
      <c r="DU673" s="59">
        <v>0</v>
      </c>
      <c r="DV673" s="38">
        <f t="shared" si="320"/>
        <v>32</v>
      </c>
      <c r="DW673" s="14" t="str">
        <f t="shared" si="319"/>
        <v/>
      </c>
      <c r="DY673">
        <f t="shared" si="322"/>
        <v>32</v>
      </c>
      <c r="DZ673" t="str">
        <f t="shared" si="323"/>
        <v/>
      </c>
    </row>
    <row r="674" spans="1:130" customFormat="1">
      <c r="A674" s="210">
        <v>40252</v>
      </c>
      <c r="B674" s="211"/>
      <c r="C674" s="61">
        <v>1</v>
      </c>
      <c r="D674" s="59">
        <v>14</v>
      </c>
      <c r="E674" s="59">
        <v>0</v>
      </c>
      <c r="F674" s="59">
        <v>0</v>
      </c>
      <c r="G674" s="59">
        <v>1</v>
      </c>
      <c r="H674" s="59">
        <v>1</v>
      </c>
      <c r="I674" s="59">
        <v>0</v>
      </c>
      <c r="J674" s="59">
        <v>10</v>
      </c>
      <c r="K674" s="59">
        <v>2</v>
      </c>
      <c r="L674" s="59">
        <v>0</v>
      </c>
      <c r="M674" s="59">
        <v>0</v>
      </c>
      <c r="N674" s="59">
        <v>0</v>
      </c>
      <c r="O674" s="59">
        <v>5</v>
      </c>
      <c r="P674" s="59">
        <v>1</v>
      </c>
      <c r="Q674" s="59">
        <v>0</v>
      </c>
      <c r="R674" s="59">
        <v>0</v>
      </c>
      <c r="S674" s="35">
        <f t="shared" si="321"/>
        <v>35</v>
      </c>
      <c r="T674" s="59"/>
      <c r="U674" s="59">
        <v>10</v>
      </c>
      <c r="V674" s="59">
        <v>9</v>
      </c>
      <c r="W674" s="59">
        <v>0</v>
      </c>
      <c r="X674" s="62">
        <v>2</v>
      </c>
      <c r="Y674" s="10"/>
      <c r="Z674" s="61">
        <v>73102</v>
      </c>
      <c r="AA674" s="101"/>
      <c r="AB674" s="101"/>
      <c r="AC674" s="61">
        <v>197069</v>
      </c>
      <c r="AD674" s="59"/>
      <c r="AE674" s="35">
        <f t="shared" si="318"/>
        <v>197069</v>
      </c>
      <c r="AF674" s="10"/>
      <c r="AG674" s="61">
        <v>36</v>
      </c>
      <c r="AH674" s="59">
        <v>1</v>
      </c>
      <c r="AI674" s="59">
        <v>52</v>
      </c>
      <c r="AJ674" s="62"/>
      <c r="AK674" s="10"/>
      <c r="AL674" s="8"/>
      <c r="AM674" s="10"/>
      <c r="AN674" s="35"/>
      <c r="AO674" s="279"/>
      <c r="AP674" s="279"/>
      <c r="AQ674" s="281"/>
      <c r="AR674" s="59">
        <v>140</v>
      </c>
      <c r="AS674" s="59"/>
      <c r="AT674" s="59"/>
      <c r="AU674" s="59"/>
      <c r="AV674" s="62"/>
      <c r="AW674" s="10"/>
      <c r="AX674" s="326">
        <v>40248</v>
      </c>
      <c r="AY674" s="5">
        <v>-4</v>
      </c>
      <c r="AZ674" s="10"/>
      <c r="BA674" s="61"/>
      <c r="BB674" s="59"/>
      <c r="BC674" s="59"/>
      <c r="BD674" s="59"/>
      <c r="BE674" s="59"/>
      <c r="BF674" s="59"/>
      <c r="BG674" s="59"/>
      <c r="BH674" s="351"/>
      <c r="BI674" s="59"/>
      <c r="BJ674" s="342"/>
      <c r="BK674" s="342"/>
      <c r="BL674" s="320"/>
      <c r="BM674" s="62"/>
      <c r="BN674" s="10"/>
      <c r="BO674" s="8"/>
      <c r="BP674" s="62"/>
      <c r="BQ674" s="10"/>
      <c r="BR674" s="29">
        <v>2010</v>
      </c>
      <c r="BS674" s="64">
        <v>2010</v>
      </c>
      <c r="BT674" s="14">
        <v>6</v>
      </c>
      <c r="BU674" s="10"/>
      <c r="BV674" s="8">
        <v>3</v>
      </c>
      <c r="BW674" s="59">
        <v>0</v>
      </c>
      <c r="BX674" s="59">
        <v>0</v>
      </c>
      <c r="BY674" s="59">
        <v>0</v>
      </c>
      <c r="BZ674" s="59">
        <v>0</v>
      </c>
      <c r="CA674" s="59">
        <v>2</v>
      </c>
      <c r="CB674" s="59">
        <v>0</v>
      </c>
      <c r="CC674" s="221"/>
      <c r="CD674" s="59">
        <v>4</v>
      </c>
      <c r="CE674" s="59">
        <v>0</v>
      </c>
      <c r="CF674" s="221">
        <v>0</v>
      </c>
      <c r="CG674" s="59">
        <v>0</v>
      </c>
      <c r="CH674" s="59">
        <v>0</v>
      </c>
      <c r="CI674" s="59">
        <v>1</v>
      </c>
      <c r="CJ674" s="59">
        <v>1</v>
      </c>
      <c r="CK674" s="59"/>
      <c r="CL674" s="59">
        <v>0</v>
      </c>
      <c r="CM674" s="59">
        <v>0</v>
      </c>
      <c r="CN674" s="59">
        <v>0</v>
      </c>
      <c r="CO674" s="59">
        <v>11</v>
      </c>
      <c r="CP674" s="317"/>
      <c r="CQ674" s="59">
        <v>0</v>
      </c>
      <c r="CR674" s="59"/>
      <c r="CS674" s="59">
        <v>0</v>
      </c>
      <c r="CT674" s="59">
        <v>0</v>
      </c>
      <c r="CU674" s="222">
        <v>0</v>
      </c>
      <c r="CV674" s="59">
        <v>2</v>
      </c>
      <c r="CW674" s="59">
        <v>0</v>
      </c>
      <c r="CX674" s="59">
        <v>0</v>
      </c>
      <c r="CY674" s="59">
        <v>0</v>
      </c>
      <c r="CZ674" s="59">
        <v>0</v>
      </c>
      <c r="DA674" s="59">
        <v>1</v>
      </c>
      <c r="DB674" s="59">
        <v>7</v>
      </c>
      <c r="DC674" s="59">
        <v>0</v>
      </c>
      <c r="DD674" s="59">
        <v>0</v>
      </c>
      <c r="DE674" s="59">
        <v>0</v>
      </c>
      <c r="DF674" s="59">
        <v>0</v>
      </c>
      <c r="DG674" s="59">
        <v>1</v>
      </c>
      <c r="DH674" s="59">
        <v>0</v>
      </c>
      <c r="DI674" s="59">
        <v>0</v>
      </c>
      <c r="DJ674" s="59">
        <v>0</v>
      </c>
      <c r="DK674" s="59">
        <v>0</v>
      </c>
      <c r="DL674" s="222">
        <v>0</v>
      </c>
      <c r="DM674" s="59">
        <v>0</v>
      </c>
      <c r="DN674" s="59">
        <v>0</v>
      </c>
      <c r="DO674" s="59">
        <v>1</v>
      </c>
      <c r="DP674" s="59">
        <v>0</v>
      </c>
      <c r="DQ674" s="59">
        <v>0</v>
      </c>
      <c r="DR674" s="59"/>
      <c r="DS674" s="59">
        <v>1</v>
      </c>
      <c r="DT674" s="59">
        <v>0</v>
      </c>
      <c r="DU674" s="59">
        <v>0</v>
      </c>
      <c r="DV674" s="38">
        <f t="shared" si="320"/>
        <v>35</v>
      </c>
      <c r="DW674" s="14" t="str">
        <f t="shared" si="319"/>
        <v/>
      </c>
      <c r="DY674">
        <f t="shared" si="322"/>
        <v>35</v>
      </c>
      <c r="DZ674" t="str">
        <f t="shared" si="323"/>
        <v/>
      </c>
    </row>
    <row r="675" spans="1:130" customFormat="1">
      <c r="A675" s="210">
        <v>40269</v>
      </c>
      <c r="B675" s="211"/>
      <c r="C675" s="61">
        <v>3</v>
      </c>
      <c r="D675" s="59">
        <v>12</v>
      </c>
      <c r="E675" s="59">
        <v>1</v>
      </c>
      <c r="F675" s="59">
        <v>0</v>
      </c>
      <c r="G675" s="59">
        <v>0</v>
      </c>
      <c r="H675" s="59">
        <v>0</v>
      </c>
      <c r="I675" s="59">
        <v>0</v>
      </c>
      <c r="J675" s="59">
        <v>13</v>
      </c>
      <c r="K675" s="59">
        <v>0</v>
      </c>
      <c r="L675" s="59">
        <v>0</v>
      </c>
      <c r="M675" s="59">
        <v>0</v>
      </c>
      <c r="N675" s="59">
        <v>0</v>
      </c>
      <c r="O675" s="59">
        <v>9</v>
      </c>
      <c r="P675" s="59">
        <v>0</v>
      </c>
      <c r="Q675" s="59">
        <v>0</v>
      </c>
      <c r="R675" s="59">
        <v>0</v>
      </c>
      <c r="S675" s="35">
        <f t="shared" si="321"/>
        <v>38</v>
      </c>
      <c r="T675" s="59"/>
      <c r="U675" s="59">
        <v>10</v>
      </c>
      <c r="V675" s="59">
        <v>8</v>
      </c>
      <c r="W675" s="59">
        <v>0</v>
      </c>
      <c r="X675" s="62">
        <v>0</v>
      </c>
      <c r="Y675" s="10"/>
      <c r="Z675" s="61">
        <v>108203</v>
      </c>
      <c r="AA675" s="101"/>
      <c r="AB675" s="101"/>
      <c r="AC675" s="61">
        <v>777918</v>
      </c>
      <c r="AD675" s="59"/>
      <c r="AE675" s="35">
        <f t="shared" si="318"/>
        <v>777918</v>
      </c>
      <c r="AF675" s="10"/>
      <c r="AG675" s="61">
        <v>58</v>
      </c>
      <c r="AH675" s="59">
        <v>1</v>
      </c>
      <c r="AI675" s="59">
        <v>66</v>
      </c>
      <c r="AJ675" s="62"/>
      <c r="AK675" s="10"/>
      <c r="AL675" s="8">
        <v>0</v>
      </c>
      <c r="AM675" s="59">
        <v>39</v>
      </c>
      <c r="AN675" s="35">
        <f>SUM(AL675:AM675)</f>
        <v>39</v>
      </c>
      <c r="AO675" s="279"/>
      <c r="AP675" s="279"/>
      <c r="AQ675" s="281"/>
      <c r="AR675" s="59">
        <v>139</v>
      </c>
      <c r="AS675" s="59">
        <v>91</v>
      </c>
      <c r="AT675" s="59">
        <v>154</v>
      </c>
      <c r="AU675" s="59">
        <v>16</v>
      </c>
      <c r="AV675" s="62">
        <v>311</v>
      </c>
      <c r="AW675" s="10"/>
      <c r="AX675" s="326">
        <v>40267</v>
      </c>
      <c r="AY675" s="5">
        <v>-2</v>
      </c>
      <c r="AZ675" s="10"/>
      <c r="BA675" s="61">
        <v>1974</v>
      </c>
      <c r="BB675" s="59">
        <v>64377876</v>
      </c>
      <c r="BC675" s="59"/>
      <c r="BD675" s="59"/>
      <c r="BE675" s="59">
        <v>109</v>
      </c>
      <c r="BF675" s="59">
        <v>3</v>
      </c>
      <c r="BG675" s="59">
        <v>1</v>
      </c>
      <c r="BH675" s="30">
        <f>SUM(BE675:BG675)</f>
        <v>113</v>
      </c>
      <c r="BI675" s="59">
        <v>5949956</v>
      </c>
      <c r="BJ675" s="342">
        <v>40278</v>
      </c>
      <c r="BK675" s="342">
        <v>40302</v>
      </c>
      <c r="BL675" s="320">
        <f>BK675-BJ675</f>
        <v>24</v>
      </c>
      <c r="BM675" s="62"/>
      <c r="BN675" s="10"/>
      <c r="BO675" s="8"/>
      <c r="BP675" s="62">
        <v>166</v>
      </c>
      <c r="BQ675" s="10"/>
      <c r="BR675" s="29">
        <v>2010</v>
      </c>
      <c r="BS675" s="64">
        <v>2010</v>
      </c>
      <c r="BT675" s="14">
        <v>7</v>
      </c>
      <c r="BU675" s="10"/>
      <c r="BV675" s="8">
        <v>2</v>
      </c>
      <c r="BW675" s="59">
        <v>0</v>
      </c>
      <c r="BX675" s="59">
        <v>0</v>
      </c>
      <c r="BY675" s="59">
        <v>0</v>
      </c>
      <c r="BZ675" s="59">
        <v>0</v>
      </c>
      <c r="CA675" s="59">
        <v>0</v>
      </c>
      <c r="CB675" s="59">
        <v>0</v>
      </c>
      <c r="CC675" s="221"/>
      <c r="CD675" s="59">
        <v>0</v>
      </c>
      <c r="CE675" s="59">
        <v>1</v>
      </c>
      <c r="CF675" s="221">
        <v>0</v>
      </c>
      <c r="CG675" s="59">
        <v>0</v>
      </c>
      <c r="CH675" s="59">
        <v>0</v>
      </c>
      <c r="CI675" s="59">
        <v>4</v>
      </c>
      <c r="CJ675" s="59">
        <v>15</v>
      </c>
      <c r="CK675" s="59"/>
      <c r="CL675" s="59">
        <v>0</v>
      </c>
      <c r="CM675" s="59">
        <v>0</v>
      </c>
      <c r="CN675" s="59">
        <v>1</v>
      </c>
      <c r="CO675" s="59">
        <v>2</v>
      </c>
      <c r="CP675" s="317"/>
      <c r="CQ675" s="59">
        <v>0</v>
      </c>
      <c r="CR675" s="59"/>
      <c r="CS675" s="59">
        <v>0</v>
      </c>
      <c r="CT675" s="59">
        <v>0</v>
      </c>
      <c r="CU675" s="222">
        <v>0</v>
      </c>
      <c r="CV675" s="59">
        <v>1</v>
      </c>
      <c r="CW675" s="59">
        <v>0</v>
      </c>
      <c r="CX675" s="59">
        <v>0</v>
      </c>
      <c r="CY675" s="59">
        <v>1</v>
      </c>
      <c r="CZ675" s="59">
        <v>0</v>
      </c>
      <c r="DA675" s="59">
        <v>0</v>
      </c>
      <c r="DB675" s="59">
        <v>5</v>
      </c>
      <c r="DC675" s="59">
        <v>0</v>
      </c>
      <c r="DD675" s="59">
        <v>0</v>
      </c>
      <c r="DE675" s="59">
        <v>0</v>
      </c>
      <c r="DF675" s="59">
        <v>0</v>
      </c>
      <c r="DG675" s="59">
        <v>0</v>
      </c>
      <c r="DH675" s="59">
        <v>0</v>
      </c>
      <c r="DI675" s="59">
        <v>1</v>
      </c>
      <c r="DJ675" s="59">
        <v>0</v>
      </c>
      <c r="DK675" s="59">
        <v>0</v>
      </c>
      <c r="DL675" s="222">
        <v>0</v>
      </c>
      <c r="DM675" s="59">
        <v>0</v>
      </c>
      <c r="DN675" s="59">
        <v>0</v>
      </c>
      <c r="DO675" s="59">
        <v>5</v>
      </c>
      <c r="DP675" s="59">
        <v>0</v>
      </c>
      <c r="DQ675" s="59">
        <v>0</v>
      </c>
      <c r="DR675" s="59"/>
      <c r="DS675" s="59">
        <v>0</v>
      </c>
      <c r="DT675" s="59">
        <v>0</v>
      </c>
      <c r="DU675" s="59">
        <v>0</v>
      </c>
      <c r="DV675" s="38">
        <f t="shared" si="320"/>
        <v>38</v>
      </c>
      <c r="DW675" s="14" t="str">
        <f t="shared" si="319"/>
        <v/>
      </c>
      <c r="DY675">
        <f t="shared" si="322"/>
        <v>38</v>
      </c>
      <c r="DZ675" t="str">
        <f t="shared" si="323"/>
        <v/>
      </c>
    </row>
    <row r="676" spans="1:130" customFormat="1">
      <c r="A676" s="210">
        <v>40283</v>
      </c>
      <c r="B676" s="211"/>
      <c r="C676" s="61">
        <v>1</v>
      </c>
      <c r="D676" s="59">
        <v>9</v>
      </c>
      <c r="E676" s="59">
        <v>2</v>
      </c>
      <c r="F676" s="59">
        <v>0</v>
      </c>
      <c r="G676" s="59">
        <v>0</v>
      </c>
      <c r="H676" s="59">
        <v>2</v>
      </c>
      <c r="I676" s="59">
        <v>0</v>
      </c>
      <c r="J676" s="59">
        <v>48</v>
      </c>
      <c r="K676" s="59">
        <v>0</v>
      </c>
      <c r="L676" s="59">
        <v>0</v>
      </c>
      <c r="M676" s="59">
        <v>0</v>
      </c>
      <c r="N676" s="59">
        <v>0</v>
      </c>
      <c r="O676" s="59">
        <v>13</v>
      </c>
      <c r="P676" s="59">
        <v>0</v>
      </c>
      <c r="Q676" s="59">
        <v>0</v>
      </c>
      <c r="R676" s="59">
        <v>0</v>
      </c>
      <c r="S676" s="35">
        <f t="shared" si="321"/>
        <v>75</v>
      </c>
      <c r="T676" s="59"/>
      <c r="U676" s="59">
        <v>23</v>
      </c>
      <c r="V676" s="59">
        <v>22</v>
      </c>
      <c r="W676" s="59">
        <v>0</v>
      </c>
      <c r="X676" s="62">
        <v>1</v>
      </c>
      <c r="Y676" s="10"/>
      <c r="Z676" s="61">
        <v>103417</v>
      </c>
      <c r="AA676" s="101"/>
      <c r="AB676" s="101"/>
      <c r="AC676" s="61">
        <v>793326</v>
      </c>
      <c r="AD676" s="59"/>
      <c r="AE676" s="35">
        <f t="shared" si="318"/>
        <v>793326</v>
      </c>
      <c r="AF676" s="10"/>
      <c r="AG676" s="61">
        <v>61</v>
      </c>
      <c r="AH676" s="59">
        <v>1</v>
      </c>
      <c r="AI676" s="59">
        <v>78</v>
      </c>
      <c r="AJ676" s="62"/>
      <c r="AK676" s="10"/>
      <c r="AL676" s="8"/>
      <c r="AM676" s="10"/>
      <c r="AN676" s="35"/>
      <c r="AO676" s="279"/>
      <c r="AP676" s="279"/>
      <c r="AQ676" s="281"/>
      <c r="AR676" s="59">
        <v>139</v>
      </c>
      <c r="AS676" s="59"/>
      <c r="AT676" s="59"/>
      <c r="AU676" s="59"/>
      <c r="AV676" s="62"/>
      <c r="AW676" s="10"/>
      <c r="AX676" s="326">
        <v>40281</v>
      </c>
      <c r="AY676" s="5">
        <v>-2</v>
      </c>
      <c r="AZ676" s="10"/>
      <c r="BA676" s="61"/>
      <c r="BB676" s="59"/>
      <c r="BC676" s="59"/>
      <c r="BD676" s="59"/>
      <c r="BE676" s="59"/>
      <c r="BF676" s="59"/>
      <c r="BG676" s="59"/>
      <c r="BH676" s="351"/>
      <c r="BI676" s="59"/>
      <c r="BJ676" s="342"/>
      <c r="BK676" s="342"/>
      <c r="BL676" s="320"/>
      <c r="BM676" s="62"/>
      <c r="BN676" s="10"/>
      <c r="BO676" s="8"/>
      <c r="BP676" s="62"/>
      <c r="BQ676" s="10"/>
      <c r="BR676" s="29">
        <v>2010</v>
      </c>
      <c r="BS676" s="64">
        <v>2010</v>
      </c>
      <c r="BT676" s="14">
        <v>8</v>
      </c>
      <c r="BU676" s="10"/>
      <c r="BV676" s="8">
        <v>0</v>
      </c>
      <c r="BW676" s="59">
        <v>0</v>
      </c>
      <c r="BX676" s="59">
        <v>2</v>
      </c>
      <c r="BY676" s="59">
        <v>0</v>
      </c>
      <c r="BZ676" s="59">
        <v>0</v>
      </c>
      <c r="CA676" s="59">
        <v>0</v>
      </c>
      <c r="CB676" s="59">
        <v>0</v>
      </c>
      <c r="CC676" s="221"/>
      <c r="CD676" s="59">
        <v>5</v>
      </c>
      <c r="CE676" s="59">
        <v>0</v>
      </c>
      <c r="CF676" s="221">
        <v>0</v>
      </c>
      <c r="CG676" s="59">
        <v>0</v>
      </c>
      <c r="CH676" s="59">
        <v>0</v>
      </c>
      <c r="CI676" s="59">
        <v>0</v>
      </c>
      <c r="CJ676" s="59">
        <v>30</v>
      </c>
      <c r="CK676" s="59"/>
      <c r="CL676" s="59">
        <v>0</v>
      </c>
      <c r="CM676" s="59">
        <v>0</v>
      </c>
      <c r="CN676" s="59">
        <v>1</v>
      </c>
      <c r="CO676" s="59">
        <v>6</v>
      </c>
      <c r="CP676" s="317"/>
      <c r="CQ676" s="59">
        <v>0</v>
      </c>
      <c r="CR676" s="59"/>
      <c r="CS676" s="59">
        <v>0</v>
      </c>
      <c r="CT676" s="59">
        <v>0</v>
      </c>
      <c r="CU676" s="222">
        <v>0</v>
      </c>
      <c r="CV676" s="59">
        <v>6</v>
      </c>
      <c r="CW676" s="59">
        <v>0</v>
      </c>
      <c r="CX676" s="59">
        <v>0</v>
      </c>
      <c r="CY676" s="59">
        <v>0</v>
      </c>
      <c r="CZ676" s="59">
        <v>0</v>
      </c>
      <c r="DA676" s="59">
        <v>0</v>
      </c>
      <c r="DB676" s="59">
        <v>5</v>
      </c>
      <c r="DC676" s="59">
        <v>0</v>
      </c>
      <c r="DD676" s="59">
        <v>0</v>
      </c>
      <c r="DE676" s="59">
        <v>0</v>
      </c>
      <c r="DF676" s="59">
        <v>0</v>
      </c>
      <c r="DG676" s="59">
        <v>7</v>
      </c>
      <c r="DH676" s="59">
        <v>1</v>
      </c>
      <c r="DI676" s="59">
        <v>0</v>
      </c>
      <c r="DJ676" s="59">
        <v>7</v>
      </c>
      <c r="DK676" s="59">
        <v>0</v>
      </c>
      <c r="DL676" s="222">
        <v>0</v>
      </c>
      <c r="DM676" s="59">
        <v>0</v>
      </c>
      <c r="DN676" s="59">
        <v>0</v>
      </c>
      <c r="DO676" s="59">
        <v>0</v>
      </c>
      <c r="DP676" s="59">
        <v>0</v>
      </c>
      <c r="DQ676" s="59">
        <v>0</v>
      </c>
      <c r="DR676" s="59"/>
      <c r="DS676" s="59">
        <v>5</v>
      </c>
      <c r="DT676" s="59">
        <v>0</v>
      </c>
      <c r="DU676" s="59">
        <v>0</v>
      </c>
      <c r="DV676" s="38">
        <f t="shared" si="320"/>
        <v>75</v>
      </c>
      <c r="DW676" s="14" t="str">
        <f t="shared" si="319"/>
        <v/>
      </c>
      <c r="DY676">
        <f t="shared" si="322"/>
        <v>75</v>
      </c>
      <c r="DZ676" t="str">
        <f t="shared" si="323"/>
        <v/>
      </c>
    </row>
    <row r="677" spans="1:130" customFormat="1">
      <c r="A677" s="210">
        <v>40299</v>
      </c>
      <c r="B677" s="211"/>
      <c r="C677" s="61">
        <v>0</v>
      </c>
      <c r="D677" s="59">
        <v>8</v>
      </c>
      <c r="E677" s="59">
        <v>1</v>
      </c>
      <c r="F677" s="59">
        <v>0</v>
      </c>
      <c r="G677" s="59">
        <v>1</v>
      </c>
      <c r="H677" s="59">
        <v>0</v>
      </c>
      <c r="I677" s="59">
        <v>0</v>
      </c>
      <c r="J677" s="59">
        <v>13</v>
      </c>
      <c r="K677" s="59">
        <v>0</v>
      </c>
      <c r="L677" s="59">
        <v>0</v>
      </c>
      <c r="M677" s="59">
        <v>0</v>
      </c>
      <c r="N677" s="59">
        <v>0</v>
      </c>
      <c r="O677" s="59">
        <v>4</v>
      </c>
      <c r="P677" s="59">
        <v>0</v>
      </c>
      <c r="Q677" s="59">
        <v>0</v>
      </c>
      <c r="R677" s="59">
        <v>0</v>
      </c>
      <c r="S677" s="35">
        <f>SUM(C677:R677)</f>
        <v>27</v>
      </c>
      <c r="T677" s="59"/>
      <c r="U677" s="59">
        <v>2</v>
      </c>
      <c r="V677" s="59">
        <v>2</v>
      </c>
      <c r="W677" s="59">
        <v>0</v>
      </c>
      <c r="X677" s="62">
        <v>0</v>
      </c>
      <c r="Y677" s="10"/>
      <c r="Z677" s="61">
        <v>99823</v>
      </c>
      <c r="AA677" s="101"/>
      <c r="AB677" s="101"/>
      <c r="AC677" s="61">
        <v>398350</v>
      </c>
      <c r="AD677" s="59"/>
      <c r="AE677" s="35">
        <f t="shared" si="318"/>
        <v>398350</v>
      </c>
      <c r="AF677" s="10"/>
      <c r="AG677" s="61">
        <v>44</v>
      </c>
      <c r="AH677" s="59">
        <v>1</v>
      </c>
      <c r="AI677" s="59">
        <v>56</v>
      </c>
      <c r="AJ677" s="62"/>
      <c r="AK677" s="10"/>
      <c r="AL677" s="8"/>
      <c r="AM677" s="10"/>
      <c r="AN677" s="35"/>
      <c r="AO677" s="279"/>
      <c r="AP677" s="279"/>
      <c r="AQ677" s="281"/>
      <c r="AR677" s="59">
        <v>141</v>
      </c>
      <c r="AS677" s="59">
        <v>91</v>
      </c>
      <c r="AT677" s="59">
        <v>155</v>
      </c>
      <c r="AU677" s="59">
        <v>17</v>
      </c>
      <c r="AV677" s="62">
        <v>313</v>
      </c>
      <c r="AW677" s="10"/>
      <c r="AX677" s="326">
        <v>40297</v>
      </c>
      <c r="AY677" s="5">
        <v>-2</v>
      </c>
      <c r="AZ677" s="10"/>
      <c r="BA677" s="61">
        <v>1970</v>
      </c>
      <c r="BB677" s="59">
        <v>64794217</v>
      </c>
      <c r="BC677" s="59"/>
      <c r="BD677" s="59"/>
      <c r="BE677" s="59">
        <v>50</v>
      </c>
      <c r="BF677" s="59">
        <v>6</v>
      </c>
      <c r="BG677" s="59">
        <v>10</v>
      </c>
      <c r="BH677" s="30">
        <f>SUM(BE677:BG677)</f>
        <v>66</v>
      </c>
      <c r="BI677" s="59">
        <v>2820155</v>
      </c>
      <c r="BJ677" s="342">
        <v>40308</v>
      </c>
      <c r="BK677" s="342">
        <v>40312</v>
      </c>
      <c r="BL677" s="320">
        <f>BK677-BJ677</f>
        <v>4</v>
      </c>
      <c r="BM677" s="62"/>
      <c r="BN677" s="10"/>
      <c r="BO677" s="8"/>
      <c r="BP677" s="5">
        <v>166</v>
      </c>
      <c r="BQ677" s="10"/>
      <c r="BR677" s="29">
        <v>2010</v>
      </c>
      <c r="BS677" s="64">
        <v>2010</v>
      </c>
      <c r="BT677" s="14">
        <v>9</v>
      </c>
      <c r="BU677" s="10"/>
      <c r="BV677" s="8">
        <v>0</v>
      </c>
      <c r="BW677" s="59">
        <v>1</v>
      </c>
      <c r="BX677" s="59">
        <v>0</v>
      </c>
      <c r="BY677" s="59">
        <v>0</v>
      </c>
      <c r="BZ677" s="59">
        <v>0</v>
      </c>
      <c r="CA677" s="59">
        <v>9</v>
      </c>
      <c r="CB677" s="59">
        <v>0</v>
      </c>
      <c r="CC677" s="221"/>
      <c r="CD677" s="59">
        <v>3</v>
      </c>
      <c r="CE677" s="59">
        <v>0</v>
      </c>
      <c r="CF677" s="221">
        <v>0</v>
      </c>
      <c r="CG677" s="59">
        <v>0</v>
      </c>
      <c r="CH677" s="59">
        <v>0</v>
      </c>
      <c r="CI677" s="59">
        <v>1</v>
      </c>
      <c r="CJ677" s="59">
        <v>3</v>
      </c>
      <c r="CK677" s="59"/>
      <c r="CL677" s="59">
        <v>0</v>
      </c>
      <c r="CM677" s="59">
        <v>0</v>
      </c>
      <c r="CN677" s="59">
        <v>0</v>
      </c>
      <c r="CO677" s="59">
        <v>3</v>
      </c>
      <c r="CP677" s="317"/>
      <c r="CQ677" s="59">
        <v>0</v>
      </c>
      <c r="CR677" s="59"/>
      <c r="CS677" s="59">
        <v>0</v>
      </c>
      <c r="CT677" s="59">
        <v>4</v>
      </c>
      <c r="CU677" s="222">
        <v>0</v>
      </c>
      <c r="CV677" s="59">
        <v>1</v>
      </c>
      <c r="CW677" s="59">
        <v>0</v>
      </c>
      <c r="CX677" s="59">
        <v>0</v>
      </c>
      <c r="CY677" s="59">
        <v>0</v>
      </c>
      <c r="CZ677" s="59">
        <v>0</v>
      </c>
      <c r="DA677" s="59">
        <v>0</v>
      </c>
      <c r="DB677" s="59"/>
      <c r="DC677" s="59">
        <v>0</v>
      </c>
      <c r="DD677" s="59">
        <v>0</v>
      </c>
      <c r="DE677" s="59">
        <v>0</v>
      </c>
      <c r="DF677" s="59">
        <v>0</v>
      </c>
      <c r="DG677" s="59">
        <v>0</v>
      </c>
      <c r="DH677" s="59">
        <v>0</v>
      </c>
      <c r="DI677" s="59">
        <v>1</v>
      </c>
      <c r="DJ677" s="59">
        <v>1</v>
      </c>
      <c r="DK677" s="59">
        <v>0</v>
      </c>
      <c r="DL677" s="222">
        <v>0</v>
      </c>
      <c r="DM677" s="59">
        <v>0</v>
      </c>
      <c r="DN677" s="59">
        <v>0</v>
      </c>
      <c r="DO677" s="59">
        <v>0</v>
      </c>
      <c r="DP677" s="59">
        <v>0</v>
      </c>
      <c r="DQ677" s="59">
        <v>0</v>
      </c>
      <c r="DR677" s="59"/>
      <c r="DS677" s="59">
        <v>0</v>
      </c>
      <c r="DT677" s="59">
        <v>0</v>
      </c>
      <c r="DU677" s="59">
        <v>0</v>
      </c>
      <c r="DV677" s="38">
        <f t="shared" si="320"/>
        <v>27</v>
      </c>
      <c r="DW677" s="14" t="str">
        <f t="shared" si="319"/>
        <v/>
      </c>
      <c r="DY677">
        <f t="shared" si="322"/>
        <v>27</v>
      </c>
      <c r="DZ677" t="str">
        <f t="shared" si="323"/>
        <v/>
      </c>
    </row>
    <row r="678" spans="1:130" customFormat="1">
      <c r="A678" s="210">
        <v>40313</v>
      </c>
      <c r="B678" s="211"/>
      <c r="C678" s="61">
        <v>3</v>
      </c>
      <c r="D678" s="59">
        <v>36</v>
      </c>
      <c r="E678" s="59">
        <v>1</v>
      </c>
      <c r="F678" s="59">
        <v>0</v>
      </c>
      <c r="G678" s="59">
        <v>0</v>
      </c>
      <c r="H678" s="59">
        <v>1</v>
      </c>
      <c r="I678" s="59">
        <v>0</v>
      </c>
      <c r="J678" s="59">
        <v>5</v>
      </c>
      <c r="K678" s="59">
        <v>0</v>
      </c>
      <c r="L678" s="59">
        <v>0</v>
      </c>
      <c r="M678" s="59">
        <v>0</v>
      </c>
      <c r="N678" s="59">
        <v>0</v>
      </c>
      <c r="O678" s="59">
        <v>1</v>
      </c>
      <c r="P678" s="59">
        <v>4</v>
      </c>
      <c r="Q678" s="59">
        <v>0</v>
      </c>
      <c r="R678" s="59">
        <v>0</v>
      </c>
      <c r="S678" s="35">
        <f>SUM(C678:R678)</f>
        <v>51</v>
      </c>
      <c r="T678" s="59"/>
      <c r="U678" s="59">
        <v>13</v>
      </c>
      <c r="V678" s="59">
        <v>12</v>
      </c>
      <c r="W678" s="59">
        <v>0</v>
      </c>
      <c r="X678" s="62">
        <v>0</v>
      </c>
      <c r="Y678" s="10"/>
      <c r="Z678" s="61">
        <v>297002</v>
      </c>
      <c r="AA678" s="101"/>
      <c r="AB678" s="101"/>
      <c r="AC678" s="61">
        <v>1203125</v>
      </c>
      <c r="AD678" s="59"/>
      <c r="AE678" s="35">
        <f t="shared" si="318"/>
        <v>1203125</v>
      </c>
      <c r="AF678" s="10"/>
      <c r="AG678" s="61">
        <v>163</v>
      </c>
      <c r="AH678" s="59">
        <v>1</v>
      </c>
      <c r="AI678" s="59">
        <v>176</v>
      </c>
      <c r="AJ678" s="62"/>
      <c r="AK678" s="10"/>
      <c r="AL678" s="8"/>
      <c r="AM678" s="10"/>
      <c r="AN678" s="35"/>
      <c r="AO678" s="279"/>
      <c r="AP678" s="279"/>
      <c r="AQ678" s="281"/>
      <c r="AR678" s="59">
        <v>142</v>
      </c>
      <c r="AS678" s="59">
        <v>93</v>
      </c>
      <c r="AT678" s="59">
        <v>155</v>
      </c>
      <c r="AU678" s="59">
        <v>17</v>
      </c>
      <c r="AV678" s="62">
        <v>314</v>
      </c>
      <c r="AW678" s="10"/>
      <c r="AX678" s="326">
        <v>40311</v>
      </c>
      <c r="AY678" s="5">
        <v>-2</v>
      </c>
      <c r="AZ678" s="10"/>
      <c r="BA678" s="8"/>
      <c r="BB678" s="10"/>
      <c r="BC678" s="10"/>
      <c r="BD678" s="10"/>
      <c r="BE678" s="10"/>
      <c r="BF678" s="10"/>
      <c r="BG678" s="10"/>
      <c r="BH678" s="30"/>
      <c r="BI678" s="10"/>
      <c r="BJ678" s="338"/>
      <c r="BK678" s="338"/>
      <c r="BL678" s="320"/>
      <c r="BM678" s="5"/>
      <c r="BN678" s="10"/>
      <c r="BO678" s="8"/>
      <c r="BP678" s="5"/>
      <c r="BQ678" s="10"/>
      <c r="BR678" s="29">
        <v>2010</v>
      </c>
      <c r="BS678" s="64">
        <v>2010</v>
      </c>
      <c r="BT678" s="14">
        <v>10</v>
      </c>
      <c r="BU678" s="10"/>
      <c r="BV678" s="8">
        <v>1</v>
      </c>
      <c r="BW678" s="59">
        <v>0</v>
      </c>
      <c r="BX678" s="59">
        <v>0</v>
      </c>
      <c r="BY678" s="59">
        <v>0</v>
      </c>
      <c r="BZ678" s="59">
        <v>0</v>
      </c>
      <c r="CA678" s="59">
        <v>0</v>
      </c>
      <c r="CB678" s="59">
        <v>2</v>
      </c>
      <c r="CC678" s="221"/>
      <c r="CD678" s="59">
        <v>7</v>
      </c>
      <c r="CE678" s="59">
        <v>0</v>
      </c>
      <c r="CF678" s="221">
        <v>0</v>
      </c>
      <c r="CG678" s="59">
        <v>0</v>
      </c>
      <c r="CH678" s="59">
        <v>0</v>
      </c>
      <c r="CI678" s="59">
        <v>1</v>
      </c>
      <c r="CJ678" s="59">
        <v>1</v>
      </c>
      <c r="CK678" s="59"/>
      <c r="CL678" s="59">
        <v>0</v>
      </c>
      <c r="CM678" s="59">
        <v>0</v>
      </c>
      <c r="CN678" s="59">
        <v>1</v>
      </c>
      <c r="CO678" s="59">
        <v>14</v>
      </c>
      <c r="CP678" s="317"/>
      <c r="CQ678" s="59">
        <v>0</v>
      </c>
      <c r="CR678" s="59"/>
      <c r="CS678" s="59">
        <v>14</v>
      </c>
      <c r="CT678" s="59">
        <v>0</v>
      </c>
      <c r="CU678" s="222">
        <v>0</v>
      </c>
      <c r="CV678" s="59">
        <v>2</v>
      </c>
      <c r="CW678" s="59">
        <v>0</v>
      </c>
      <c r="CX678" s="59">
        <v>1</v>
      </c>
      <c r="CY678" s="59">
        <v>0</v>
      </c>
      <c r="CZ678" s="59">
        <v>0</v>
      </c>
      <c r="DA678" s="59">
        <v>0</v>
      </c>
      <c r="DB678" s="59">
        <v>1</v>
      </c>
      <c r="DC678" s="59">
        <v>0</v>
      </c>
      <c r="DD678" s="59">
        <v>0</v>
      </c>
      <c r="DE678" s="59">
        <v>0</v>
      </c>
      <c r="DF678" s="59">
        <v>0</v>
      </c>
      <c r="DG678" s="59">
        <v>2</v>
      </c>
      <c r="DH678" s="59">
        <v>0</v>
      </c>
      <c r="DI678" s="59">
        <v>1</v>
      </c>
      <c r="DJ678" s="59">
        <v>0</v>
      </c>
      <c r="DK678" s="59">
        <v>0</v>
      </c>
      <c r="DL678" s="222">
        <v>0</v>
      </c>
      <c r="DM678" s="59">
        <v>0</v>
      </c>
      <c r="DN678" s="59">
        <v>0</v>
      </c>
      <c r="DO678" s="59">
        <v>1</v>
      </c>
      <c r="DP678" s="59">
        <v>0</v>
      </c>
      <c r="DQ678" s="59">
        <v>0</v>
      </c>
      <c r="DR678" s="59"/>
      <c r="DS678" s="59">
        <v>2</v>
      </c>
      <c r="DT678" s="59">
        <v>0</v>
      </c>
      <c r="DU678" s="59">
        <v>0</v>
      </c>
      <c r="DV678" s="38">
        <f t="shared" si="320"/>
        <v>51</v>
      </c>
      <c r="DW678" s="14" t="str">
        <f t="shared" si="319"/>
        <v/>
      </c>
      <c r="DY678">
        <f t="shared" si="322"/>
        <v>51</v>
      </c>
      <c r="DZ678" t="str">
        <f t="shared" si="323"/>
        <v/>
      </c>
    </row>
    <row r="679" spans="1:130" customFormat="1">
      <c r="A679" s="210">
        <v>40330</v>
      </c>
      <c r="B679" s="211"/>
      <c r="C679" s="8">
        <v>3</v>
      </c>
      <c r="D679" s="59">
        <v>22</v>
      </c>
      <c r="E679" s="59">
        <v>5</v>
      </c>
      <c r="F679" s="59">
        <v>0</v>
      </c>
      <c r="G679" s="59">
        <v>0</v>
      </c>
      <c r="H679" s="59">
        <v>0</v>
      </c>
      <c r="I679" s="59">
        <v>0</v>
      </c>
      <c r="J679" s="59">
        <v>3</v>
      </c>
      <c r="K679" s="59">
        <v>0</v>
      </c>
      <c r="L679" s="59">
        <v>0</v>
      </c>
      <c r="M679" s="59">
        <v>1</v>
      </c>
      <c r="N679" s="59">
        <v>0</v>
      </c>
      <c r="O679" s="59">
        <v>6</v>
      </c>
      <c r="P679" s="59">
        <v>2</v>
      </c>
      <c r="Q679" s="59">
        <v>0</v>
      </c>
      <c r="R679" s="59">
        <v>0</v>
      </c>
      <c r="S679" s="35">
        <f>SUM(C679:R679)</f>
        <v>42</v>
      </c>
      <c r="T679" s="59"/>
      <c r="U679" s="59">
        <v>19</v>
      </c>
      <c r="V679" s="59">
        <v>15</v>
      </c>
      <c r="W679" s="59">
        <v>0</v>
      </c>
      <c r="X679" s="62">
        <v>0</v>
      </c>
      <c r="Y679" s="10"/>
      <c r="Z679" s="61">
        <v>389154</v>
      </c>
      <c r="AA679" s="101"/>
      <c r="AB679" s="101"/>
      <c r="AC679" s="61">
        <v>1271334</v>
      </c>
      <c r="AD679" s="59"/>
      <c r="AE679" s="35">
        <f t="shared" si="318"/>
        <v>1271334</v>
      </c>
      <c r="AF679" s="10"/>
      <c r="AG679" s="8">
        <v>125</v>
      </c>
      <c r="AH679" s="59">
        <v>40</v>
      </c>
      <c r="AI679" s="59">
        <v>180</v>
      </c>
      <c r="AJ679" s="5"/>
      <c r="AK679" s="10"/>
      <c r="AL679" s="8"/>
      <c r="AM679" s="10"/>
      <c r="AN679" s="35"/>
      <c r="AO679" s="279"/>
      <c r="AP679" s="279"/>
      <c r="AQ679" s="281"/>
      <c r="AR679" s="59">
        <v>143</v>
      </c>
      <c r="AS679" s="59">
        <v>91</v>
      </c>
      <c r="AT679" s="59">
        <v>157</v>
      </c>
      <c r="AU679" s="59">
        <v>17</v>
      </c>
      <c r="AV679" s="62">
        <v>314</v>
      </c>
      <c r="AW679" s="10"/>
      <c r="AX679" s="326">
        <v>40325</v>
      </c>
      <c r="AY679" s="5">
        <v>-5</v>
      </c>
      <c r="AZ679" s="10"/>
      <c r="BA679" s="278">
        <v>1969</v>
      </c>
      <c r="BB679" s="10">
        <v>64775486</v>
      </c>
      <c r="BC679" s="10"/>
      <c r="BD679" s="10"/>
      <c r="BE679" s="10">
        <v>40</v>
      </c>
      <c r="BF679" s="10">
        <v>1</v>
      </c>
      <c r="BG679" s="59">
        <v>2</v>
      </c>
      <c r="BH679" s="30">
        <f>SUM(BE679:BG679)</f>
        <v>43</v>
      </c>
      <c r="BI679" s="10">
        <v>2196561</v>
      </c>
      <c r="BJ679" s="338">
        <v>40339</v>
      </c>
      <c r="BK679" s="338">
        <v>40338</v>
      </c>
      <c r="BL679" s="320">
        <f>BK679-BJ679</f>
        <v>-1</v>
      </c>
      <c r="BM679" s="5"/>
      <c r="BN679" s="10"/>
      <c r="BO679" s="8"/>
      <c r="BP679" s="5">
        <v>166</v>
      </c>
      <c r="BQ679" s="10"/>
      <c r="BR679" s="29">
        <v>2010</v>
      </c>
      <c r="BS679" s="64">
        <v>2010</v>
      </c>
      <c r="BT679" s="14">
        <v>11</v>
      </c>
      <c r="BU679" s="10"/>
      <c r="BV679" s="8">
        <v>9</v>
      </c>
      <c r="BW679" s="10">
        <v>0</v>
      </c>
      <c r="BX679" s="59">
        <v>0</v>
      </c>
      <c r="BY679" s="10">
        <v>0</v>
      </c>
      <c r="BZ679" s="59">
        <v>0</v>
      </c>
      <c r="CA679" s="10">
        <v>0</v>
      </c>
      <c r="CB679" s="59">
        <v>0</v>
      </c>
      <c r="CC679" s="221"/>
      <c r="CD679" s="59">
        <v>7</v>
      </c>
      <c r="CE679" s="59">
        <v>0</v>
      </c>
      <c r="CF679" s="221">
        <v>0</v>
      </c>
      <c r="CG679" s="59">
        <v>0</v>
      </c>
      <c r="CH679" s="59">
        <v>0</v>
      </c>
      <c r="CI679" s="59">
        <v>4</v>
      </c>
      <c r="CJ679" s="59">
        <v>0</v>
      </c>
      <c r="CK679" s="59"/>
      <c r="CL679" s="59">
        <v>0</v>
      </c>
      <c r="CM679" s="59">
        <v>0</v>
      </c>
      <c r="CN679" s="59">
        <v>0</v>
      </c>
      <c r="CO679" s="59">
        <v>0</v>
      </c>
      <c r="CP679" s="317"/>
      <c r="CQ679" s="59">
        <v>0</v>
      </c>
      <c r="CR679" s="59"/>
      <c r="CS679" s="10">
        <v>2</v>
      </c>
      <c r="CT679" s="10">
        <v>2</v>
      </c>
      <c r="CU679" s="222">
        <v>0</v>
      </c>
      <c r="CV679" s="59">
        <v>4</v>
      </c>
      <c r="CW679" s="59">
        <v>0</v>
      </c>
      <c r="CX679" s="59">
        <v>0</v>
      </c>
      <c r="CY679" s="59">
        <v>0</v>
      </c>
      <c r="CZ679" s="59">
        <v>0</v>
      </c>
      <c r="DA679" s="10">
        <v>2</v>
      </c>
      <c r="DB679" s="10">
        <v>4</v>
      </c>
      <c r="DC679" s="59">
        <v>0</v>
      </c>
      <c r="DD679" s="59">
        <v>0</v>
      </c>
      <c r="DE679" s="59">
        <v>0</v>
      </c>
      <c r="DF679" s="59">
        <v>0</v>
      </c>
      <c r="DG679" s="59">
        <v>1</v>
      </c>
      <c r="DH679" s="59">
        <v>0</v>
      </c>
      <c r="DI679" s="59">
        <v>0</v>
      </c>
      <c r="DJ679" s="59">
        <v>0</v>
      </c>
      <c r="DK679" s="59">
        <v>0</v>
      </c>
      <c r="DL679" s="222">
        <v>0</v>
      </c>
      <c r="DM679" s="10">
        <v>5</v>
      </c>
      <c r="DN679" s="59">
        <v>0</v>
      </c>
      <c r="DO679" s="59">
        <v>2</v>
      </c>
      <c r="DP679" s="59">
        <v>0</v>
      </c>
      <c r="DQ679" s="59">
        <v>0</v>
      </c>
      <c r="DR679" s="59"/>
      <c r="DS679" s="59">
        <v>0</v>
      </c>
      <c r="DT679" s="59">
        <v>0</v>
      </c>
      <c r="DU679" s="59">
        <v>0</v>
      </c>
      <c r="DV679" s="38">
        <f t="shared" si="320"/>
        <v>42</v>
      </c>
      <c r="DW679" s="14" t="str">
        <f t="shared" si="319"/>
        <v/>
      </c>
      <c r="DY679">
        <f t="shared" si="322"/>
        <v>42</v>
      </c>
      <c r="DZ679" t="str">
        <f t="shared" si="323"/>
        <v/>
      </c>
    </row>
    <row r="680" spans="1:130" customFormat="1">
      <c r="A680" s="210">
        <v>40344</v>
      </c>
      <c r="B680" s="211"/>
      <c r="C680" s="8">
        <v>1</v>
      </c>
      <c r="D680" s="59">
        <v>20</v>
      </c>
      <c r="E680" s="59">
        <v>1</v>
      </c>
      <c r="F680" s="59">
        <v>0</v>
      </c>
      <c r="G680" s="59">
        <v>0</v>
      </c>
      <c r="H680" s="59">
        <v>0</v>
      </c>
      <c r="I680" s="59">
        <v>0</v>
      </c>
      <c r="J680" s="59">
        <v>12</v>
      </c>
      <c r="K680" s="59">
        <v>0</v>
      </c>
      <c r="L680" s="59">
        <v>0</v>
      </c>
      <c r="M680" s="59">
        <v>0</v>
      </c>
      <c r="N680" s="59">
        <v>0</v>
      </c>
      <c r="O680" s="59">
        <v>7</v>
      </c>
      <c r="P680" s="59">
        <v>0</v>
      </c>
      <c r="Q680" s="59">
        <v>0</v>
      </c>
      <c r="R680" s="59">
        <v>0</v>
      </c>
      <c r="S680" s="35">
        <f>SUM(C680:R680)</f>
        <v>41</v>
      </c>
      <c r="T680" s="59"/>
      <c r="U680" s="59">
        <v>6</v>
      </c>
      <c r="V680" s="59">
        <v>5</v>
      </c>
      <c r="W680" s="59">
        <v>0</v>
      </c>
      <c r="X680" s="5">
        <v>0</v>
      </c>
      <c r="Y680" s="10"/>
      <c r="Z680" s="61">
        <v>302420</v>
      </c>
      <c r="AA680" s="101"/>
      <c r="AB680" s="101"/>
      <c r="AC680" s="61">
        <v>763535</v>
      </c>
      <c r="AD680" s="59"/>
      <c r="AE680" s="35">
        <f t="shared" si="318"/>
        <v>763535</v>
      </c>
      <c r="AF680" s="10"/>
      <c r="AG680" s="8">
        <v>72</v>
      </c>
      <c r="AH680" s="59">
        <v>44</v>
      </c>
      <c r="AI680" s="59">
        <v>128</v>
      </c>
      <c r="AJ680" s="5"/>
      <c r="AK680" s="10"/>
      <c r="AL680" s="8"/>
      <c r="AM680" s="10"/>
      <c r="AN680" s="35"/>
      <c r="AO680" s="279"/>
      <c r="AP680" s="279"/>
      <c r="AQ680" s="281"/>
      <c r="AR680" s="59">
        <v>142</v>
      </c>
      <c r="AS680" s="59">
        <v>92</v>
      </c>
      <c r="AT680" s="59">
        <v>157</v>
      </c>
      <c r="AU680" s="59">
        <v>17</v>
      </c>
      <c r="AV680" s="62">
        <v>314</v>
      </c>
      <c r="AW680" s="10"/>
      <c r="AX680" s="326">
        <v>40339</v>
      </c>
      <c r="AY680" s="5">
        <v>-5</v>
      </c>
      <c r="AZ680" s="10"/>
      <c r="BA680" s="8"/>
      <c r="BB680" s="10"/>
      <c r="BC680" s="10"/>
      <c r="BD680" s="10"/>
      <c r="BE680" s="10"/>
      <c r="BF680" s="10"/>
      <c r="BG680" s="10"/>
      <c r="BH680" s="30"/>
      <c r="BI680" s="10"/>
      <c r="BJ680" s="338"/>
      <c r="BK680" s="338"/>
      <c r="BL680" s="320"/>
      <c r="BM680" s="5"/>
      <c r="BN680" s="10"/>
      <c r="BO680" s="8"/>
      <c r="BP680" s="5"/>
      <c r="BQ680" s="10"/>
      <c r="BR680" s="29">
        <v>2010</v>
      </c>
      <c r="BS680" s="64">
        <v>2010</v>
      </c>
      <c r="BT680" s="14">
        <v>12</v>
      </c>
      <c r="BU680" s="10"/>
      <c r="BV680" s="8">
        <v>1</v>
      </c>
      <c r="BW680" s="10">
        <v>1</v>
      </c>
      <c r="BX680" s="59">
        <v>0</v>
      </c>
      <c r="BY680" s="59">
        <v>0</v>
      </c>
      <c r="BZ680" s="59">
        <v>0</v>
      </c>
      <c r="CA680" s="10">
        <v>0</v>
      </c>
      <c r="CB680" s="10">
        <v>0</v>
      </c>
      <c r="CC680" s="221"/>
      <c r="CD680" s="59">
        <v>5</v>
      </c>
      <c r="CE680" s="59">
        <v>0</v>
      </c>
      <c r="CF680" s="221">
        <v>0</v>
      </c>
      <c r="CG680" s="59">
        <v>0</v>
      </c>
      <c r="CH680" s="59">
        <v>0</v>
      </c>
      <c r="CI680" s="59">
        <v>0</v>
      </c>
      <c r="CJ680" s="59">
        <v>2</v>
      </c>
      <c r="CK680" s="59"/>
      <c r="CL680" s="59">
        <v>0</v>
      </c>
      <c r="CM680" s="59">
        <v>0</v>
      </c>
      <c r="CN680" s="59">
        <v>0</v>
      </c>
      <c r="CO680" s="10">
        <v>3</v>
      </c>
      <c r="CP680" s="317"/>
      <c r="CQ680" s="59">
        <v>0</v>
      </c>
      <c r="CR680" s="59"/>
      <c r="CS680" s="59">
        <v>0</v>
      </c>
      <c r="CT680" s="10">
        <v>3</v>
      </c>
      <c r="CU680" s="222">
        <v>0</v>
      </c>
      <c r="CV680" s="59">
        <v>2</v>
      </c>
      <c r="CW680" s="59">
        <v>0</v>
      </c>
      <c r="CX680" s="59">
        <v>1</v>
      </c>
      <c r="CY680" s="59">
        <v>5</v>
      </c>
      <c r="CZ680" s="59">
        <v>0</v>
      </c>
      <c r="DA680" s="59">
        <v>0</v>
      </c>
      <c r="DB680" s="10">
        <v>9</v>
      </c>
      <c r="DC680" s="59">
        <v>0</v>
      </c>
      <c r="DD680" s="59">
        <v>0</v>
      </c>
      <c r="DE680" s="59">
        <v>0</v>
      </c>
      <c r="DF680" s="59">
        <v>0</v>
      </c>
      <c r="DG680" s="59">
        <v>0</v>
      </c>
      <c r="DH680" s="59">
        <v>0</v>
      </c>
      <c r="DI680" s="59">
        <v>1</v>
      </c>
      <c r="DJ680" s="59">
        <v>0</v>
      </c>
      <c r="DK680" s="59">
        <v>0</v>
      </c>
      <c r="DL680" s="222">
        <v>0</v>
      </c>
      <c r="DM680" s="10">
        <v>7</v>
      </c>
      <c r="DN680" s="59">
        <v>0</v>
      </c>
      <c r="DO680" s="59">
        <v>1</v>
      </c>
      <c r="DP680" s="59">
        <v>0</v>
      </c>
      <c r="DQ680" s="59">
        <v>0</v>
      </c>
      <c r="DR680" s="59"/>
      <c r="DS680" s="59">
        <v>0</v>
      </c>
      <c r="DT680" s="59">
        <v>0</v>
      </c>
      <c r="DU680" s="59">
        <v>0</v>
      </c>
      <c r="DV680" s="38">
        <f t="shared" si="320"/>
        <v>41</v>
      </c>
      <c r="DW680" s="14" t="str">
        <f t="shared" si="319"/>
        <v/>
      </c>
      <c r="DY680">
        <f t="shared" si="322"/>
        <v>41</v>
      </c>
      <c r="DZ680" t="str">
        <f t="shared" si="323"/>
        <v/>
      </c>
    </row>
    <row r="681" spans="1:130" s="6" customFormat="1" ht="12" thickBot="1">
      <c r="A681" s="212" t="s">
        <v>253</v>
      </c>
      <c r="B681" s="83"/>
      <c r="C681" s="52">
        <f t="shared" ref="C681:X681" si="324">SUM(C657:C680)</f>
        <v>61</v>
      </c>
      <c r="D681" s="53">
        <f t="shared" si="324"/>
        <v>444</v>
      </c>
      <c r="E681" s="53">
        <f t="shared" si="324"/>
        <v>31</v>
      </c>
      <c r="F681" s="53">
        <f t="shared" si="324"/>
        <v>11</v>
      </c>
      <c r="G681" s="53">
        <f t="shared" si="324"/>
        <v>18</v>
      </c>
      <c r="H681" s="53">
        <f t="shared" si="324"/>
        <v>17</v>
      </c>
      <c r="I681" s="53">
        <f>SUM(I657:I680)</f>
        <v>0</v>
      </c>
      <c r="J681" s="53">
        <f t="shared" si="324"/>
        <v>248</v>
      </c>
      <c r="K681" s="53">
        <f t="shared" si="324"/>
        <v>13</v>
      </c>
      <c r="L681" s="53">
        <f t="shared" ref="L681:P681" si="325">SUM(L657:L680)</f>
        <v>1</v>
      </c>
      <c r="M681" s="53">
        <f t="shared" si="325"/>
        <v>1</v>
      </c>
      <c r="N681" s="53">
        <f t="shared" si="325"/>
        <v>0</v>
      </c>
      <c r="O681" s="53">
        <f>SUM(O657:O680)</f>
        <v>134</v>
      </c>
      <c r="P681" s="53">
        <f t="shared" si="325"/>
        <v>37</v>
      </c>
      <c r="Q681" s="53">
        <f t="shared" si="324"/>
        <v>1</v>
      </c>
      <c r="R681" s="53">
        <f t="shared" si="324"/>
        <v>0</v>
      </c>
      <c r="S681" s="55">
        <f t="shared" si="324"/>
        <v>1017</v>
      </c>
      <c r="T681" s="53">
        <f t="shared" si="324"/>
        <v>0</v>
      </c>
      <c r="U681" s="53">
        <f t="shared" si="324"/>
        <v>245</v>
      </c>
      <c r="V681" s="53">
        <f t="shared" ref="V681" si="326">SUM(V657:V680)</f>
        <v>206</v>
      </c>
      <c r="W681" s="53">
        <f t="shared" si="324"/>
        <v>0</v>
      </c>
      <c r="X681" s="54">
        <f t="shared" si="324"/>
        <v>4</v>
      </c>
      <c r="Z681" s="52">
        <f>SUM(Z657:Z680)</f>
        <v>11348628</v>
      </c>
      <c r="AA681" s="53">
        <f>SUM(AA657:AA680)</f>
        <v>0</v>
      </c>
      <c r="AB681" s="53"/>
      <c r="AC681" s="52">
        <f>SUM(AC657:AC680)</f>
        <v>15200749</v>
      </c>
      <c r="AD681" s="53">
        <f>SUM(AD657:AD680)</f>
        <v>0</v>
      </c>
      <c r="AE681" s="55">
        <f>SUM(AE657:AE680)</f>
        <v>15200749</v>
      </c>
      <c r="AG681" s="52">
        <f>SUM(AG657:AG680)</f>
        <v>1878</v>
      </c>
      <c r="AH681" s="53">
        <f>SUM(AH657:AH680)</f>
        <v>415</v>
      </c>
      <c r="AI681" s="53">
        <f>SUM(AI657:AI680)</f>
        <v>2696</v>
      </c>
      <c r="AJ681" s="54">
        <f>SUM(AJ657:AJ680)</f>
        <v>0</v>
      </c>
      <c r="AL681" s="52">
        <f t="shared" ref="AL681:AV681" si="327">SUM(AL657:AL680)</f>
        <v>0</v>
      </c>
      <c r="AM681" s="53">
        <f t="shared" si="327"/>
        <v>152</v>
      </c>
      <c r="AN681" s="55">
        <f t="shared" si="327"/>
        <v>152</v>
      </c>
      <c r="AO681" s="283"/>
      <c r="AP681" s="283"/>
      <c r="AQ681" s="284"/>
      <c r="AR681" s="53">
        <f t="shared" si="327"/>
        <v>3313</v>
      </c>
      <c r="AS681" s="53">
        <f t="shared" si="327"/>
        <v>1819</v>
      </c>
      <c r="AT681" s="53">
        <f t="shared" si="327"/>
        <v>2967</v>
      </c>
      <c r="AU681" s="53">
        <f t="shared" si="327"/>
        <v>329</v>
      </c>
      <c r="AV681" s="54">
        <f t="shared" si="327"/>
        <v>6088</v>
      </c>
      <c r="AX681" s="329"/>
      <c r="AY681" s="54"/>
      <c r="BA681" s="52">
        <f t="shared" ref="BA681:BM681" si="328">SUM(BA657:BA680)</f>
        <v>23509</v>
      </c>
      <c r="BB681" s="53">
        <f t="shared" si="328"/>
        <v>749903285</v>
      </c>
      <c r="BC681" s="53">
        <f t="shared" si="328"/>
        <v>0</v>
      </c>
      <c r="BD681" s="53"/>
      <c r="BE681" s="53">
        <f t="shared" si="328"/>
        <v>782</v>
      </c>
      <c r="BF681" s="53">
        <f t="shared" si="328"/>
        <v>60</v>
      </c>
      <c r="BG681" s="53">
        <f t="shared" si="328"/>
        <v>29</v>
      </c>
      <c r="BH681" s="55"/>
      <c r="BI681" s="53">
        <f t="shared" si="328"/>
        <v>42167699</v>
      </c>
      <c r="BJ681" s="339"/>
      <c r="BK681" s="339"/>
      <c r="BL681" s="304"/>
      <c r="BM681" s="54">
        <f t="shared" si="328"/>
        <v>0</v>
      </c>
      <c r="BO681" s="52">
        <f>SUM(BO657:BO680)</f>
        <v>0</v>
      </c>
      <c r="BP681" s="54">
        <f>SUM(BP657:BP680)</f>
        <v>1985</v>
      </c>
      <c r="BR681" s="81" t="s">
        <v>250</v>
      </c>
      <c r="BS681" s="80"/>
      <c r="BT681" s="82"/>
      <c r="BV681" s="52">
        <f t="shared" ref="BV681:BW681" si="329">SUM(BV657:BV680)</f>
        <v>57</v>
      </c>
      <c r="BW681" s="53">
        <f t="shared" si="329"/>
        <v>21</v>
      </c>
      <c r="BX681" s="53">
        <f t="shared" ref="BX681:DU681" si="330">SUM(BX657:BX680)</f>
        <v>27</v>
      </c>
      <c r="BY681" s="53">
        <f t="shared" si="330"/>
        <v>0</v>
      </c>
      <c r="BZ681" s="53">
        <f t="shared" si="330"/>
        <v>0</v>
      </c>
      <c r="CA681" s="53">
        <f t="shared" si="330"/>
        <v>19</v>
      </c>
      <c r="CB681" s="53">
        <f t="shared" si="330"/>
        <v>2</v>
      </c>
      <c r="CC681" s="53">
        <f t="shared" si="330"/>
        <v>0</v>
      </c>
      <c r="CD681" s="53">
        <f t="shared" si="330"/>
        <v>128</v>
      </c>
      <c r="CE681" s="53">
        <f t="shared" si="330"/>
        <v>5</v>
      </c>
      <c r="CF681" s="53">
        <f t="shared" si="330"/>
        <v>0</v>
      </c>
      <c r="CG681" s="53">
        <f t="shared" si="330"/>
        <v>0</v>
      </c>
      <c r="CH681" s="53">
        <f t="shared" si="330"/>
        <v>0</v>
      </c>
      <c r="CI681" s="53">
        <f t="shared" si="330"/>
        <v>51</v>
      </c>
      <c r="CJ681" s="53">
        <f t="shared" si="330"/>
        <v>93</v>
      </c>
      <c r="CK681" s="53">
        <f t="shared" si="330"/>
        <v>0</v>
      </c>
      <c r="CL681" s="53">
        <f t="shared" si="330"/>
        <v>0</v>
      </c>
      <c r="CM681" s="53">
        <f t="shared" si="330"/>
        <v>7</v>
      </c>
      <c r="CN681" s="53">
        <f t="shared" si="330"/>
        <v>5</v>
      </c>
      <c r="CO681" s="53">
        <f t="shared" si="330"/>
        <v>191</v>
      </c>
      <c r="CP681" s="53">
        <f t="shared" si="330"/>
        <v>0</v>
      </c>
      <c r="CQ681" s="53">
        <f t="shared" si="330"/>
        <v>0</v>
      </c>
      <c r="CR681" s="53">
        <f t="shared" si="330"/>
        <v>0</v>
      </c>
      <c r="CS681" s="53">
        <f t="shared" si="330"/>
        <v>19</v>
      </c>
      <c r="CT681" s="53">
        <f t="shared" si="330"/>
        <v>53</v>
      </c>
      <c r="CU681" s="53">
        <f t="shared" si="330"/>
        <v>0</v>
      </c>
      <c r="CV681" s="53">
        <f t="shared" si="330"/>
        <v>64</v>
      </c>
      <c r="CW681" s="53">
        <f t="shared" si="330"/>
        <v>4</v>
      </c>
      <c r="CX681" s="53">
        <f t="shared" si="330"/>
        <v>5</v>
      </c>
      <c r="CY681" s="53">
        <f t="shared" si="330"/>
        <v>21</v>
      </c>
      <c r="CZ681" s="53">
        <f t="shared" si="330"/>
        <v>0</v>
      </c>
      <c r="DA681" s="53">
        <f t="shared" si="330"/>
        <v>4</v>
      </c>
      <c r="DB681" s="53">
        <f t="shared" si="330"/>
        <v>67</v>
      </c>
      <c r="DC681" s="53">
        <f t="shared" si="330"/>
        <v>1</v>
      </c>
      <c r="DD681" s="53">
        <f t="shared" si="330"/>
        <v>0</v>
      </c>
      <c r="DE681" s="53">
        <f t="shared" si="330"/>
        <v>1</v>
      </c>
      <c r="DF681" s="53">
        <f t="shared" si="330"/>
        <v>0</v>
      </c>
      <c r="DG681" s="53">
        <f t="shared" si="330"/>
        <v>32</v>
      </c>
      <c r="DH681" s="53">
        <f t="shared" si="330"/>
        <v>9</v>
      </c>
      <c r="DI681" s="53">
        <f t="shared" si="330"/>
        <v>7</v>
      </c>
      <c r="DJ681" s="53">
        <f t="shared" si="330"/>
        <v>12</v>
      </c>
      <c r="DK681" s="53">
        <f t="shared" si="330"/>
        <v>0</v>
      </c>
      <c r="DL681" s="53">
        <f t="shared" si="330"/>
        <v>2</v>
      </c>
      <c r="DM681" s="53">
        <f t="shared" si="330"/>
        <v>49</v>
      </c>
      <c r="DN681" s="53">
        <f t="shared" si="330"/>
        <v>7</v>
      </c>
      <c r="DO681" s="53">
        <f t="shared" si="330"/>
        <v>24</v>
      </c>
      <c r="DP681" s="53">
        <f t="shared" si="330"/>
        <v>2</v>
      </c>
      <c r="DQ681" s="53">
        <f t="shared" si="330"/>
        <v>0</v>
      </c>
      <c r="DR681" s="53">
        <f t="shared" si="330"/>
        <v>0</v>
      </c>
      <c r="DS681" s="53">
        <f t="shared" si="330"/>
        <v>28</v>
      </c>
      <c r="DT681" s="53">
        <f t="shared" si="330"/>
        <v>0</v>
      </c>
      <c r="DU681" s="53">
        <f t="shared" si="330"/>
        <v>0</v>
      </c>
      <c r="DV681" s="54">
        <f t="shared" si="320"/>
        <v>1017</v>
      </c>
      <c r="DW681" s="48"/>
    </row>
    <row r="682" spans="1:130" s="6" customFormat="1" ht="12" thickTop="1">
      <c r="A682" s="213" t="s">
        <v>254</v>
      </c>
      <c r="B682" s="24"/>
      <c r="C682" s="39">
        <f t="shared" ref="C682:R682" si="331">ROUND(IF(ISERROR(AVERAGE(C657:C680)),0,AVERAGE(C657:C680)),0)</f>
        <v>3</v>
      </c>
      <c r="D682" s="24">
        <f t="shared" si="331"/>
        <v>19</v>
      </c>
      <c r="E682" s="24">
        <f t="shared" si="331"/>
        <v>1</v>
      </c>
      <c r="F682" s="24">
        <f t="shared" si="331"/>
        <v>0</v>
      </c>
      <c r="G682" s="24">
        <f t="shared" si="331"/>
        <v>1</v>
      </c>
      <c r="H682" s="24">
        <f t="shared" si="331"/>
        <v>1</v>
      </c>
      <c r="I682" s="24">
        <f>ROUND(IF(ISERROR(AVERAGE(I657:I680)),0,AVERAGE(I657:I680)),0)</f>
        <v>0</v>
      </c>
      <c r="J682" s="24">
        <f t="shared" si="331"/>
        <v>10</v>
      </c>
      <c r="K682" s="24">
        <f t="shared" si="331"/>
        <v>1</v>
      </c>
      <c r="L682" s="24">
        <f t="shared" ref="L682:P682" si="332">ROUND(IF(ISERROR(AVERAGE(L657:L680)),0,AVERAGE(L657:L680)),0)</f>
        <v>0</v>
      </c>
      <c r="M682" s="24">
        <f t="shared" si="332"/>
        <v>0</v>
      </c>
      <c r="N682" s="24">
        <f t="shared" si="332"/>
        <v>0</v>
      </c>
      <c r="O682" s="24">
        <f>ROUND(IF(ISERROR(AVERAGE(O657:O680)),0,AVERAGE(O657:O680)),0)</f>
        <v>6</v>
      </c>
      <c r="P682" s="24">
        <f t="shared" si="332"/>
        <v>2</v>
      </c>
      <c r="Q682" s="24">
        <f t="shared" si="331"/>
        <v>0</v>
      </c>
      <c r="R682" s="24">
        <f t="shared" si="331"/>
        <v>0</v>
      </c>
      <c r="S682" s="31">
        <f>SUM(C682:R682)</f>
        <v>44</v>
      </c>
      <c r="T682" s="24">
        <f>ROUND(IF(ISERROR(AVERAGE(T657:T680)),0,AVERAGE(T657:T680)),0)</f>
        <v>0</v>
      </c>
      <c r="U682" s="24">
        <f>ROUND(IF(ISERROR(AVERAGE(U657:U680)),0,AVERAGE(U657:U680)),0)</f>
        <v>10</v>
      </c>
      <c r="V682" s="24">
        <f>ROUND(IF(ISERROR(AVERAGE(V657:V680)),0,AVERAGE(V657:V680)),0)</f>
        <v>9</v>
      </c>
      <c r="W682" s="24">
        <f>ROUND(IF(ISERROR(AVERAGE(W657:W680)),0,AVERAGE(W657:W680)),0)</f>
        <v>0</v>
      </c>
      <c r="X682" s="40">
        <f>ROUND(IF(ISERROR(AVERAGE(X657:X680)),0,AVERAGE(X657:X680)),0)</f>
        <v>0</v>
      </c>
      <c r="Z682" s="39">
        <f>ROUND(IF(ISERROR(AVERAGE(Z657:Z680)),0,AVERAGE(Z657:Z680)),0)</f>
        <v>472860</v>
      </c>
      <c r="AA682" s="24">
        <f>ROUND(IF(ISERROR(AVERAGE(AA657:AA680)),0,AVERAGE(AA657:AA680)),0)</f>
        <v>0</v>
      </c>
      <c r="AB682" s="24"/>
      <c r="AC682" s="39">
        <f>ROUND(IF(ISERROR(AVERAGE(AC657:AC680)),0,AVERAGE(AC657:AC680)),0)</f>
        <v>633365</v>
      </c>
      <c r="AD682" s="24">
        <f>ROUND(IF(ISERROR(AVERAGE(AD657:AD680)),0,AVERAGE(AD657:AD680)),0)</f>
        <v>0</v>
      </c>
      <c r="AE682" s="31">
        <f>SUM(AC682:AD682)</f>
        <v>633365</v>
      </c>
      <c r="AG682" s="39">
        <f>ROUND(IF(ISERROR(AVERAGE(AG657:AG680)),0,AVERAGE(AG657:AG680)),0)</f>
        <v>78</v>
      </c>
      <c r="AH682" s="24">
        <f>ROUND(IF(ISERROR(AVERAGE(AH657:AH680)),0,AVERAGE(AH657:AH680)),0)</f>
        <v>17</v>
      </c>
      <c r="AI682" s="24">
        <f>ROUND(IF(ISERROR(AVERAGE(AI657:AI680)),0,AVERAGE(AI657:AI680)),0)</f>
        <v>112</v>
      </c>
      <c r="AJ682" s="40">
        <f>ROUND(IF(ISERROR(AVERAGE(AJ657:AJ680)),0,AVERAGE(AJ657:AJ680)),0)</f>
        <v>0</v>
      </c>
      <c r="AL682" s="39">
        <f>ROUND(IF(ISERROR(AVERAGE(AL657:AL680)),0,AVERAGE(AL657:AL680)),0)</f>
        <v>0</v>
      </c>
      <c r="AM682" s="24">
        <f>ROUND(IF(ISERROR(AVERAGE(AM657:AM680)),0,AVERAGE(AM657:AM680)),0)</f>
        <v>38</v>
      </c>
      <c r="AN682" s="31">
        <f>SUM(AL682:AM682)</f>
        <v>38</v>
      </c>
      <c r="AO682" s="285"/>
      <c r="AP682" s="285"/>
      <c r="AQ682" s="281"/>
      <c r="AR682" s="24">
        <f>ROUND(IF(ISERROR(AVERAGE(AR657:AR680)),0,AVERAGE(AR657:AR680)),0)</f>
        <v>138</v>
      </c>
      <c r="AS682" s="24">
        <f>ROUND(IF(ISERROR(AVERAGE(AS657:AS680)),0,AVERAGE(AS657:AS680)),0)</f>
        <v>91</v>
      </c>
      <c r="AT682" s="24">
        <f>ROUND(IF(ISERROR(AVERAGE(AT657:AT680)),0,AVERAGE(AT657:AT680)),0)</f>
        <v>148</v>
      </c>
      <c r="AU682" s="24">
        <f>ROUND(IF(ISERROR(AVERAGE(AU657:AU680)),0,AVERAGE(AU657:AU680)),0)</f>
        <v>16</v>
      </c>
      <c r="AV682" s="40">
        <f>ROUND(IF(ISERROR(AVERAGE(AV657:AV680)),0,AVERAGE(AV657:AV680)),0)</f>
        <v>304</v>
      </c>
      <c r="AX682" s="330"/>
      <c r="AY682" s="40">
        <f>ROUND(IF(ISERROR(AVERAGE(AY657:AY680)),0,AVERAGE(AY657:AY680)),0)</f>
        <v>-2</v>
      </c>
      <c r="BA682" s="39">
        <f t="shared" ref="BA682:BM682" si="333">ROUND(IF(ISERROR(AVERAGE(BA657:BA680)),0,AVERAGE(BA657:BA680)),0)</f>
        <v>1959</v>
      </c>
      <c r="BB682" s="24">
        <f t="shared" si="333"/>
        <v>62491940</v>
      </c>
      <c r="BC682" s="24">
        <f t="shared" si="333"/>
        <v>0</v>
      </c>
      <c r="BD682" s="24"/>
      <c r="BE682" s="24">
        <f t="shared" si="333"/>
        <v>65</v>
      </c>
      <c r="BF682" s="24">
        <f t="shared" si="333"/>
        <v>5</v>
      </c>
      <c r="BG682" s="24">
        <f t="shared" si="333"/>
        <v>2</v>
      </c>
      <c r="BH682" s="31"/>
      <c r="BI682" s="24">
        <f t="shared" si="333"/>
        <v>3513975</v>
      </c>
      <c r="BJ682" s="340"/>
      <c r="BK682" s="340"/>
      <c r="BL682" s="305">
        <f>AVERAGE(BL657:BL680)</f>
        <v>50.166666666666664</v>
      </c>
      <c r="BM682" s="40">
        <f t="shared" si="333"/>
        <v>0</v>
      </c>
      <c r="BO682" s="39">
        <f>ROUND(IF(ISERROR(AVERAGE(BO657:BO680)),0,AVERAGE(BO657:BO680)),0)</f>
        <v>0</v>
      </c>
      <c r="BP682" s="40">
        <f>ROUND(IF(ISERROR(AVERAGE(BP657:BP680)),0,AVERAGE(BP657:BP680)),0)</f>
        <v>165</v>
      </c>
      <c r="BR682" s="65" t="s">
        <v>251</v>
      </c>
      <c r="BS682" s="19"/>
      <c r="BT682" s="14"/>
      <c r="BV682" s="39">
        <f t="shared" ref="BV682:BW682" si="334">ROUND(IF(ISERROR(AVERAGE(BV657:BV680)),0,AVERAGE(BV657:BV680)),0)</f>
        <v>2</v>
      </c>
      <c r="BW682" s="24">
        <f t="shared" si="334"/>
        <v>1</v>
      </c>
      <c r="BX682" s="24">
        <f t="shared" ref="BX682:DU682" si="335">ROUND(IF(ISERROR(AVERAGE(BX657:BX680)),0,AVERAGE(BX657:BX680)),0)</f>
        <v>1</v>
      </c>
      <c r="BY682" s="24">
        <f t="shared" si="335"/>
        <v>0</v>
      </c>
      <c r="BZ682" s="24">
        <f t="shared" si="335"/>
        <v>0</v>
      </c>
      <c r="CA682" s="24">
        <f t="shared" si="335"/>
        <v>1</v>
      </c>
      <c r="CB682" s="24">
        <f t="shared" si="335"/>
        <v>0</v>
      </c>
      <c r="CC682" s="24">
        <f t="shared" si="335"/>
        <v>0</v>
      </c>
      <c r="CD682" s="24">
        <f t="shared" si="335"/>
        <v>5</v>
      </c>
      <c r="CE682" s="24">
        <f t="shared" si="335"/>
        <v>0</v>
      </c>
      <c r="CF682" s="24">
        <f t="shared" si="335"/>
        <v>0</v>
      </c>
      <c r="CG682" s="24">
        <f t="shared" si="335"/>
        <v>0</v>
      </c>
      <c r="CH682" s="24">
        <f t="shared" si="335"/>
        <v>0</v>
      </c>
      <c r="CI682" s="24">
        <f t="shared" si="335"/>
        <v>2</v>
      </c>
      <c r="CJ682" s="24">
        <f t="shared" si="335"/>
        <v>4</v>
      </c>
      <c r="CK682" s="24">
        <f t="shared" si="335"/>
        <v>0</v>
      </c>
      <c r="CL682" s="24">
        <f t="shared" si="335"/>
        <v>0</v>
      </c>
      <c r="CM682" s="24">
        <f t="shared" si="335"/>
        <v>0</v>
      </c>
      <c r="CN682" s="24">
        <f t="shared" si="335"/>
        <v>0</v>
      </c>
      <c r="CO682" s="24">
        <f t="shared" si="335"/>
        <v>8</v>
      </c>
      <c r="CP682" s="24">
        <f t="shared" si="335"/>
        <v>0</v>
      </c>
      <c r="CQ682" s="24">
        <f t="shared" si="335"/>
        <v>0</v>
      </c>
      <c r="CR682" s="24">
        <f t="shared" si="335"/>
        <v>0</v>
      </c>
      <c r="CS682" s="24">
        <f t="shared" si="335"/>
        <v>1</v>
      </c>
      <c r="CT682" s="24">
        <f t="shared" si="335"/>
        <v>2</v>
      </c>
      <c r="CU682" s="24">
        <f t="shared" si="335"/>
        <v>0</v>
      </c>
      <c r="CV682" s="24">
        <f t="shared" si="335"/>
        <v>3</v>
      </c>
      <c r="CW682" s="24">
        <f t="shared" si="335"/>
        <v>0</v>
      </c>
      <c r="CX682" s="24">
        <f t="shared" si="335"/>
        <v>0</v>
      </c>
      <c r="CY682" s="24">
        <f t="shared" si="335"/>
        <v>1</v>
      </c>
      <c r="CZ682" s="24">
        <f t="shared" si="335"/>
        <v>0</v>
      </c>
      <c r="DA682" s="24">
        <f t="shared" si="335"/>
        <v>0</v>
      </c>
      <c r="DB682" s="24">
        <f t="shared" si="335"/>
        <v>3</v>
      </c>
      <c r="DC682" s="24">
        <f t="shared" si="335"/>
        <v>0</v>
      </c>
      <c r="DD682" s="24">
        <f t="shared" si="335"/>
        <v>0</v>
      </c>
      <c r="DE682" s="24">
        <f t="shared" si="335"/>
        <v>0</v>
      </c>
      <c r="DF682" s="24">
        <f t="shared" si="335"/>
        <v>0</v>
      </c>
      <c r="DG682" s="24">
        <f t="shared" si="335"/>
        <v>1</v>
      </c>
      <c r="DH682" s="24">
        <f t="shared" si="335"/>
        <v>0</v>
      </c>
      <c r="DI682" s="24">
        <f t="shared" si="335"/>
        <v>0</v>
      </c>
      <c r="DJ682" s="24">
        <f t="shared" si="335"/>
        <v>1</v>
      </c>
      <c r="DK682" s="24">
        <f t="shared" si="335"/>
        <v>0</v>
      </c>
      <c r="DL682" s="24">
        <f t="shared" si="335"/>
        <v>0</v>
      </c>
      <c r="DM682" s="24">
        <f t="shared" si="335"/>
        <v>2</v>
      </c>
      <c r="DN682" s="24">
        <f t="shared" si="335"/>
        <v>0</v>
      </c>
      <c r="DO682" s="24">
        <f t="shared" si="335"/>
        <v>1</v>
      </c>
      <c r="DP682" s="24">
        <f t="shared" si="335"/>
        <v>0</v>
      </c>
      <c r="DQ682" s="24">
        <f t="shared" si="335"/>
        <v>0</v>
      </c>
      <c r="DR682" s="24">
        <f t="shared" si="335"/>
        <v>0</v>
      </c>
      <c r="DS682" s="24">
        <f t="shared" si="335"/>
        <v>1</v>
      </c>
      <c r="DT682" s="24">
        <f t="shared" si="335"/>
        <v>0</v>
      </c>
      <c r="DU682" s="24">
        <f t="shared" si="335"/>
        <v>0</v>
      </c>
      <c r="DV682" s="18"/>
      <c r="DW682" s="48"/>
    </row>
    <row r="683" spans="1:130" customFormat="1">
      <c r="A683" s="210" t="s">
        <v>255</v>
      </c>
      <c r="B683" s="211"/>
      <c r="C683" s="8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30">
        <f>MEDIAN(S657:S680)</f>
        <v>40.5</v>
      </c>
      <c r="T683" s="10"/>
      <c r="U683" s="10"/>
      <c r="V683" s="105"/>
      <c r="W683" s="10"/>
      <c r="X683" s="5"/>
      <c r="Y683" s="10"/>
      <c r="Z683" s="8"/>
      <c r="AA683" s="10" t="str">
        <f>IF(ISERROR(MEDIAN(AA657:AA680)),"",MEDIAN(AA657:AA680))</f>
        <v/>
      </c>
      <c r="AB683" s="10"/>
      <c r="AC683" s="8"/>
      <c r="AD683" s="10"/>
      <c r="AE683" s="30"/>
      <c r="AF683" s="10"/>
      <c r="AG683" s="8"/>
      <c r="AH683" s="10"/>
      <c r="AI683" s="10">
        <f>IF(ISERROR(MEDIAN(AI657:AI680)),"",MEDIAN(AI657:AI680))</f>
        <v>104</v>
      </c>
      <c r="AJ683" s="5" t="str">
        <f>IF(ISERROR(MEDIAN(AJ657:AJ680)),"",MEDIAN(AJ657:AJ680))</f>
        <v/>
      </c>
      <c r="AK683" s="10"/>
      <c r="AL683" s="8"/>
      <c r="AM683" s="10"/>
      <c r="AN683" s="30"/>
      <c r="AO683" s="10"/>
      <c r="AP683" s="10"/>
      <c r="AQ683" s="30"/>
      <c r="AR683" s="10"/>
      <c r="AS683" s="10"/>
      <c r="AT683" s="10"/>
      <c r="AU683" s="10"/>
      <c r="AV683" s="5"/>
      <c r="AW683" s="10"/>
      <c r="AX683" s="326"/>
      <c r="AY683" s="5"/>
      <c r="AZ683" s="10"/>
      <c r="BA683" s="8">
        <f>IF(ISERROR(MEDIAN(BA657:BA680)),"",MEDIAN(BA657:BA680))</f>
        <v>1959</v>
      </c>
      <c r="BB683" s="10"/>
      <c r="BC683" s="10"/>
      <c r="BD683" s="10"/>
      <c r="BE683" s="10"/>
      <c r="BF683" s="10"/>
      <c r="BG683" s="10"/>
      <c r="BH683" s="30"/>
      <c r="BI683" s="10"/>
      <c r="BJ683" s="338"/>
      <c r="BK683" s="338"/>
      <c r="BL683" s="303"/>
      <c r="BM683" s="5"/>
      <c r="BN683" s="10"/>
      <c r="BO683" s="8"/>
      <c r="BP683" s="5"/>
      <c r="BQ683" s="10"/>
      <c r="BR683" s="65"/>
      <c r="BS683" s="19"/>
      <c r="BT683" s="14"/>
      <c r="BU683" s="10"/>
      <c r="BV683" s="8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  <c r="DF683" s="10"/>
      <c r="DG683" s="10"/>
      <c r="DH683" s="10"/>
      <c r="DI683" s="10"/>
      <c r="DJ683" s="10"/>
      <c r="DK683" s="10"/>
      <c r="DL683" s="10"/>
      <c r="DM683" s="10"/>
      <c r="DN683" s="10"/>
      <c r="DO683" s="10"/>
      <c r="DP683" s="10"/>
      <c r="DQ683" s="10"/>
      <c r="DR683" s="10"/>
      <c r="DS683" s="10"/>
      <c r="DT683" s="10"/>
      <c r="DU683" s="10"/>
      <c r="DV683" s="5"/>
      <c r="DW683" s="21"/>
    </row>
    <row r="684" spans="1:130" customFormat="1" ht="12" thickBot="1">
      <c r="A684" s="214" t="s">
        <v>256</v>
      </c>
      <c r="B684" s="195"/>
      <c r="C684" s="41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32">
        <f>MODE(S657:S680)</f>
        <v>38</v>
      </c>
      <c r="T684" s="22"/>
      <c r="U684" s="63"/>
      <c r="V684" s="63"/>
      <c r="W684" s="22"/>
      <c r="X684" s="42"/>
      <c r="Y684" s="22"/>
      <c r="Z684" s="41"/>
      <c r="AA684" s="22"/>
      <c r="AB684" s="22"/>
      <c r="AC684" s="41"/>
      <c r="AD684" s="22"/>
      <c r="AE684" s="32"/>
      <c r="AF684" s="22"/>
      <c r="AG684" s="41"/>
      <c r="AH684" s="22"/>
      <c r="AI684" s="22">
        <f>IF(ISERROR(MODE(AI657:AI680)),"",MODE(AI657:AI680))</f>
        <v>104</v>
      </c>
      <c r="AJ684" s="42" t="str">
        <f>IF(ISERROR(MODE(AJ657:AJ680)),"",MODE(AJ657:AJ680))</f>
        <v/>
      </c>
      <c r="AK684" s="22"/>
      <c r="AL684" s="41"/>
      <c r="AM684" s="22"/>
      <c r="AN684" s="32"/>
      <c r="AO684" s="22"/>
      <c r="AP684" s="22"/>
      <c r="AQ684" s="32"/>
      <c r="AR684" s="22"/>
      <c r="AS684" s="22"/>
      <c r="AT684" s="22"/>
      <c r="AU684" s="22"/>
      <c r="AV684" s="42"/>
      <c r="AW684" s="22"/>
      <c r="AX684" s="331"/>
      <c r="AY684" s="42"/>
      <c r="AZ684" s="22"/>
      <c r="BA684" s="41"/>
      <c r="BB684" s="22"/>
      <c r="BC684" s="22"/>
      <c r="BD684" s="22"/>
      <c r="BE684" s="22"/>
      <c r="BF684" s="22"/>
      <c r="BG684" s="22"/>
      <c r="BH684" s="32"/>
      <c r="BI684" s="22"/>
      <c r="BJ684" s="341"/>
      <c r="BK684" s="341"/>
      <c r="BL684" s="306"/>
      <c r="BM684" s="42"/>
      <c r="BN684" s="22"/>
      <c r="BO684" s="41"/>
      <c r="BP684" s="42"/>
      <c r="BQ684" s="22"/>
      <c r="BR684" s="66"/>
      <c r="BS684" s="51"/>
      <c r="BT684" s="67"/>
      <c r="BU684" s="22"/>
      <c r="BV684" s="41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2"/>
      <c r="CP684" s="22"/>
      <c r="CQ684" s="22"/>
      <c r="CR684" s="22"/>
      <c r="CS684" s="22"/>
      <c r="CT684" s="22"/>
      <c r="CU684" s="22"/>
      <c r="CV684" s="22"/>
      <c r="CW684" s="22"/>
      <c r="CX684" s="22"/>
      <c r="CY684" s="22"/>
      <c r="CZ684" s="22"/>
      <c r="DA684" s="22"/>
      <c r="DB684" s="22"/>
      <c r="DC684" s="22"/>
      <c r="DD684" s="22"/>
      <c r="DE684" s="22"/>
      <c r="DF684" s="22"/>
      <c r="DG684" s="22"/>
      <c r="DH684" s="22"/>
      <c r="DI684" s="22"/>
      <c r="DJ684" s="22"/>
      <c r="DK684" s="22"/>
      <c r="DL684" s="22"/>
      <c r="DM684" s="22"/>
      <c r="DN684" s="22"/>
      <c r="DO684" s="22"/>
      <c r="DP684" s="22"/>
      <c r="DQ684" s="22"/>
      <c r="DR684" s="22"/>
      <c r="DS684" s="22"/>
      <c r="DT684" s="22"/>
      <c r="DU684" s="22"/>
      <c r="DV684" s="42"/>
      <c r="DW684" s="23"/>
    </row>
    <row r="685" spans="1:130" customFormat="1">
      <c r="A685" s="194" t="s">
        <v>182</v>
      </c>
      <c r="B685" s="194"/>
      <c r="C685" s="8">
        <f>COUNTA(C657:C680)</f>
        <v>24</v>
      </c>
      <c r="D685" s="10"/>
      <c r="E685" s="10"/>
      <c r="F685" s="10">
        <f>SUM(C681:F681)</f>
        <v>547</v>
      </c>
      <c r="G685" s="275">
        <f>G681/F685</f>
        <v>3.2906764168190127E-2</v>
      </c>
      <c r="H685" s="104">
        <f>H681/S681</f>
        <v>1.6715830875122909E-2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30"/>
      <c r="T685" s="10"/>
      <c r="U685" s="98">
        <f>U681/S681</f>
        <v>0.24090462143559488</v>
      </c>
      <c r="V685" s="98">
        <f>V681/S681</f>
        <v>0.20255653883972469</v>
      </c>
      <c r="W685" s="276">
        <f>W681/S681</f>
        <v>0</v>
      </c>
      <c r="X685" s="276">
        <f>X681/S681</f>
        <v>3.9331366764995086E-3</v>
      </c>
      <c r="Y685" s="10"/>
      <c r="Z685" s="8"/>
      <c r="AA685" s="10"/>
      <c r="AB685" s="10"/>
      <c r="AC685" s="8"/>
      <c r="AD685" s="10"/>
      <c r="AE685" s="30"/>
      <c r="AF685" s="10"/>
      <c r="AG685" s="8"/>
      <c r="AH685" s="10"/>
      <c r="AI685" s="10"/>
      <c r="AJ685" s="5"/>
      <c r="AK685" s="10"/>
      <c r="AL685" s="8"/>
      <c r="AM685" s="10"/>
      <c r="AN685" s="30"/>
      <c r="AO685" s="10"/>
      <c r="AP685" s="10"/>
      <c r="AQ685" s="30"/>
      <c r="AR685" s="10"/>
      <c r="AS685" s="10"/>
      <c r="AT685" s="10"/>
      <c r="AU685" s="10"/>
      <c r="AV685" s="5"/>
      <c r="AW685" s="10"/>
      <c r="AX685" s="326"/>
      <c r="AY685" s="5"/>
      <c r="AZ685" s="10"/>
      <c r="BA685" s="8"/>
      <c r="BB685" s="10"/>
      <c r="BC685" s="10"/>
      <c r="BD685" s="10"/>
      <c r="BE685" s="10"/>
      <c r="BF685" s="10"/>
      <c r="BG685" s="10"/>
      <c r="BH685" s="30"/>
      <c r="BI685" s="10"/>
      <c r="BJ685" s="338"/>
      <c r="BK685" s="338"/>
      <c r="BL685" s="303"/>
      <c r="BM685" s="5"/>
      <c r="BN685" s="10"/>
      <c r="BO685" s="8"/>
      <c r="BP685" s="5"/>
      <c r="BQ685" s="10"/>
      <c r="BR685" s="65"/>
      <c r="BS685" s="19"/>
      <c r="BT685" s="14"/>
      <c r="BU685" s="10"/>
      <c r="BV685" s="8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  <c r="DF685" s="10"/>
      <c r="DG685" s="10"/>
      <c r="DH685" s="10"/>
      <c r="DI685" s="10"/>
      <c r="DJ685" s="10"/>
      <c r="DK685" s="10"/>
      <c r="DL685" s="10"/>
      <c r="DM685" s="10"/>
      <c r="DN685" s="10"/>
      <c r="DO685" s="10"/>
      <c r="DP685" s="10"/>
      <c r="DQ685" s="10"/>
      <c r="DR685" s="10"/>
      <c r="DS685" s="10"/>
      <c r="DT685" s="10"/>
      <c r="DU685" s="10"/>
      <c r="DV685" s="5"/>
      <c r="DW685" s="10"/>
    </row>
    <row r="686" spans="1:130" customFormat="1">
      <c r="A686" s="194"/>
      <c r="B686" s="194"/>
      <c r="C686" s="8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30"/>
      <c r="T686" s="10"/>
      <c r="U686" s="105"/>
      <c r="V686" s="105"/>
      <c r="W686" s="10"/>
      <c r="X686" s="5"/>
      <c r="Y686" s="10"/>
      <c r="Z686" s="8"/>
      <c r="AA686" s="10"/>
      <c r="AB686" s="10"/>
      <c r="AC686" s="8"/>
      <c r="AD686" s="10"/>
      <c r="AE686" s="30"/>
      <c r="AF686" s="10"/>
      <c r="AG686" s="8"/>
      <c r="AH686" s="10"/>
      <c r="AI686" s="10"/>
      <c r="AJ686" s="5"/>
      <c r="AK686" s="10"/>
      <c r="AL686" s="8"/>
      <c r="AM686" s="10"/>
      <c r="AN686" s="30"/>
      <c r="AO686" s="10"/>
      <c r="AP686" s="10"/>
      <c r="AQ686" s="30"/>
      <c r="AR686" s="10"/>
      <c r="AS686" s="10"/>
      <c r="AT686" s="10"/>
      <c r="AU686" s="10"/>
      <c r="AV686" s="5"/>
      <c r="AW686" s="10"/>
      <c r="AX686" s="326"/>
      <c r="AY686" s="5"/>
      <c r="AZ686" s="10"/>
      <c r="BA686" s="8"/>
      <c r="BB686" s="10"/>
      <c r="BC686" s="10"/>
      <c r="BD686" s="10"/>
      <c r="BE686" s="10"/>
      <c r="BF686" s="10"/>
      <c r="BG686" s="10"/>
      <c r="BH686" s="30"/>
      <c r="BI686" s="10"/>
      <c r="BJ686" s="338"/>
      <c r="BK686" s="338"/>
      <c r="BL686" s="303"/>
      <c r="BM686" s="5"/>
      <c r="BN686" s="10"/>
      <c r="BO686" s="8"/>
      <c r="BP686" s="5"/>
      <c r="BQ686" s="10"/>
      <c r="BR686" s="65"/>
      <c r="BS686" s="19"/>
      <c r="BT686" s="14"/>
      <c r="BU686" s="10"/>
      <c r="BV686" s="8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  <c r="DF686" s="10"/>
      <c r="DG686" s="10"/>
      <c r="DH686" s="10"/>
      <c r="DI686" s="10"/>
      <c r="DJ686" s="10"/>
      <c r="DK686" s="10"/>
      <c r="DL686" s="10"/>
      <c r="DM686" s="10"/>
      <c r="DN686" s="10"/>
      <c r="DO686" s="10"/>
      <c r="DP686" s="10"/>
      <c r="DQ686" s="10"/>
      <c r="DR686" s="10"/>
      <c r="DS686" s="10"/>
      <c r="DT686" s="10"/>
      <c r="DU686" s="10"/>
      <c r="DV686" s="5"/>
      <c r="DW686" s="10"/>
    </row>
    <row r="687" spans="1:130" customFormat="1" ht="12" thickBot="1">
      <c r="A687" s="194"/>
      <c r="B687" s="194"/>
      <c r="C687" s="8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30"/>
      <c r="T687" s="10"/>
      <c r="U687" s="10"/>
      <c r="V687" s="10"/>
      <c r="W687" s="10"/>
      <c r="X687" s="5"/>
      <c r="Y687" s="10"/>
      <c r="Z687" s="8"/>
      <c r="AA687" s="10"/>
      <c r="AB687" s="10"/>
      <c r="AC687" s="8"/>
      <c r="AD687" s="10"/>
      <c r="AE687" s="30"/>
      <c r="AF687" s="10"/>
      <c r="AG687" s="8"/>
      <c r="AH687" s="10"/>
      <c r="AI687" s="10"/>
      <c r="AJ687" s="5"/>
      <c r="AK687" s="10"/>
      <c r="AL687" s="8"/>
      <c r="AM687" s="10"/>
      <c r="AN687" s="30"/>
      <c r="AO687" s="10"/>
      <c r="AP687" s="10"/>
      <c r="AQ687" s="30"/>
      <c r="AR687" s="10"/>
      <c r="AS687" s="10"/>
      <c r="AT687" s="10"/>
      <c r="AU687" s="10"/>
      <c r="AV687" s="5"/>
      <c r="AW687" s="10"/>
      <c r="AX687" s="326"/>
      <c r="AY687" s="5"/>
      <c r="AZ687" s="10"/>
      <c r="BA687" s="8"/>
      <c r="BB687" s="10"/>
      <c r="BC687" s="10"/>
      <c r="BD687" s="10"/>
      <c r="BE687" s="10"/>
      <c r="BF687" s="10"/>
      <c r="BG687" s="10"/>
      <c r="BH687" s="30"/>
      <c r="BI687" s="10"/>
      <c r="BJ687" s="338"/>
      <c r="BK687" s="338"/>
      <c r="BL687" s="303"/>
      <c r="BM687" s="5"/>
      <c r="BN687" s="10"/>
      <c r="BO687" s="8"/>
      <c r="BP687" s="5"/>
      <c r="BQ687" s="10"/>
      <c r="BR687" s="65"/>
      <c r="BS687" s="19"/>
      <c r="BT687" s="14"/>
      <c r="BU687" s="10"/>
      <c r="BV687" s="8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  <c r="DF687" s="10"/>
      <c r="DG687" s="10"/>
      <c r="DH687" s="10"/>
      <c r="DI687" s="10"/>
      <c r="DJ687" s="10"/>
      <c r="DK687" s="10"/>
      <c r="DL687" s="10"/>
      <c r="DM687" s="10"/>
      <c r="DN687" s="10"/>
      <c r="DO687" s="10"/>
      <c r="DP687" s="10"/>
      <c r="DQ687" s="10"/>
      <c r="DR687" s="10"/>
      <c r="DS687" s="10"/>
      <c r="DT687" s="10"/>
      <c r="DU687" s="10"/>
      <c r="DV687" s="5"/>
      <c r="DW687" s="10"/>
    </row>
    <row r="688" spans="1:130" customFormat="1">
      <c r="A688" s="208">
        <v>40360</v>
      </c>
      <c r="B688" s="209"/>
      <c r="C688" s="36">
        <v>2</v>
      </c>
      <c r="D688" s="9">
        <v>52</v>
      </c>
      <c r="E688" s="9">
        <v>0</v>
      </c>
      <c r="F688" s="9">
        <v>1</v>
      </c>
      <c r="G688" s="9">
        <v>1</v>
      </c>
      <c r="H688" s="9">
        <v>1</v>
      </c>
      <c r="I688" s="9">
        <v>0</v>
      </c>
      <c r="J688" s="9">
        <v>8</v>
      </c>
      <c r="K688" s="9">
        <v>0</v>
      </c>
      <c r="L688" s="9">
        <v>0</v>
      </c>
      <c r="M688" s="9">
        <v>0</v>
      </c>
      <c r="N688" s="9">
        <v>0</v>
      </c>
      <c r="O688" s="9">
        <v>16</v>
      </c>
      <c r="P688" s="9">
        <v>0</v>
      </c>
      <c r="Q688" s="9">
        <v>0</v>
      </c>
      <c r="R688" s="9">
        <v>0</v>
      </c>
      <c r="S688" s="33">
        <f>SUM(C688:R688)</f>
        <v>81</v>
      </c>
      <c r="T688" s="9"/>
      <c r="U688" s="9">
        <v>17</v>
      </c>
      <c r="V688" s="9">
        <v>12</v>
      </c>
      <c r="W688" s="9">
        <v>0</v>
      </c>
      <c r="X688" s="37">
        <v>0</v>
      </c>
      <c r="Y688" s="9"/>
      <c r="Z688" s="91">
        <v>421914</v>
      </c>
      <c r="AA688" s="99"/>
      <c r="AB688" s="99"/>
      <c r="AC688" s="91">
        <v>1551427</v>
      </c>
      <c r="AD688" s="9"/>
      <c r="AE688" s="33">
        <f t="shared" ref="AE688:AE711" si="336">SUM(AC688:AD688)</f>
        <v>1551427</v>
      </c>
      <c r="AF688" s="9"/>
      <c r="AG688" s="91">
        <v>145</v>
      </c>
      <c r="AH688" s="92">
        <v>46</v>
      </c>
      <c r="AI688" s="92">
        <v>206</v>
      </c>
      <c r="AJ688" s="93"/>
      <c r="AK688" s="9"/>
      <c r="AL688" s="36">
        <v>0</v>
      </c>
      <c r="AM688" s="9">
        <v>32</v>
      </c>
      <c r="AN688" s="33">
        <f>SUM(AL688:AM688)</f>
        <v>32</v>
      </c>
      <c r="AO688" s="280"/>
      <c r="AP688" s="280"/>
      <c r="AQ688" s="282"/>
      <c r="AR688" s="92">
        <v>142</v>
      </c>
      <c r="AS688" s="92">
        <v>92</v>
      </c>
      <c r="AT688" s="92">
        <v>160</v>
      </c>
      <c r="AU688" s="92">
        <v>17</v>
      </c>
      <c r="AV688" s="93">
        <v>317</v>
      </c>
      <c r="AW688" s="9"/>
      <c r="AX688" s="325">
        <v>40359</v>
      </c>
      <c r="AY688" s="37">
        <v>-1</v>
      </c>
      <c r="AZ688" s="9"/>
      <c r="BA688" s="36">
        <v>1969</v>
      </c>
      <c r="BB688" s="9">
        <v>65081778</v>
      </c>
      <c r="BC688" s="92"/>
      <c r="BD688" s="92"/>
      <c r="BE688" s="92">
        <v>87</v>
      </c>
      <c r="BF688" s="92">
        <v>4</v>
      </c>
      <c r="BG688" s="92">
        <v>4</v>
      </c>
      <c r="BH688" s="352"/>
      <c r="BI688" s="9">
        <v>3791556</v>
      </c>
      <c r="BJ688" s="337">
        <v>40369</v>
      </c>
      <c r="BK688" s="337">
        <v>40367</v>
      </c>
      <c r="BL688" s="319">
        <f>BK688-BJ688</f>
        <v>-2</v>
      </c>
      <c r="BM688" s="93"/>
      <c r="BN688" s="9"/>
      <c r="BO688" s="36"/>
      <c r="BP688" s="37">
        <v>166</v>
      </c>
      <c r="BQ688" s="9"/>
      <c r="BR688" s="74">
        <v>2011</v>
      </c>
      <c r="BS688" s="75">
        <v>2010</v>
      </c>
      <c r="BT688" s="13">
        <v>13</v>
      </c>
      <c r="BU688" s="9"/>
      <c r="BV688" s="36">
        <v>2</v>
      </c>
      <c r="BW688" s="9"/>
      <c r="BX688" s="9">
        <v>3</v>
      </c>
      <c r="BY688" s="9"/>
      <c r="BZ688" s="9"/>
      <c r="CA688" s="9"/>
      <c r="CB688" s="9"/>
      <c r="CC688" s="223"/>
      <c r="CD688" s="9">
        <v>13</v>
      </c>
      <c r="CE688" s="9"/>
      <c r="CF688" s="223"/>
      <c r="CG688" s="9"/>
      <c r="CH688" s="9"/>
      <c r="CI688" s="9">
        <v>15</v>
      </c>
      <c r="CJ688" s="9">
        <v>6</v>
      </c>
      <c r="CK688" s="9"/>
      <c r="CL688" s="9">
        <v>3</v>
      </c>
      <c r="CM688" s="9"/>
      <c r="CN688" s="9">
        <v>1</v>
      </c>
      <c r="CO688" s="9">
        <v>6</v>
      </c>
      <c r="CP688" s="220"/>
      <c r="CQ688" s="9"/>
      <c r="CR688" s="9"/>
      <c r="CS688" s="9">
        <v>6</v>
      </c>
      <c r="CT688" s="9">
        <v>3</v>
      </c>
      <c r="CU688" s="223"/>
      <c r="CV688" s="9">
        <v>9</v>
      </c>
      <c r="CW688" s="9"/>
      <c r="CX688" s="9"/>
      <c r="CY688" s="9"/>
      <c r="CZ688" s="9"/>
      <c r="DA688" s="9">
        <v>2</v>
      </c>
      <c r="DB688" s="9">
        <v>11</v>
      </c>
      <c r="DC688" s="9"/>
      <c r="DD688" s="9"/>
      <c r="DE688" s="9"/>
      <c r="DF688" s="9"/>
      <c r="DG688" s="9"/>
      <c r="DH688" s="9"/>
      <c r="DI688" s="9">
        <v>1</v>
      </c>
      <c r="DJ688" s="9"/>
      <c r="DK688" s="9"/>
      <c r="DL688" s="223"/>
      <c r="DM688" s="9"/>
      <c r="DN688" s="9"/>
      <c r="DO688" s="9"/>
      <c r="DP688" s="9"/>
      <c r="DQ688" s="9"/>
      <c r="DR688" s="9"/>
      <c r="DS688" s="9"/>
      <c r="DT688" s="9"/>
      <c r="DU688" s="9"/>
      <c r="DV688" s="44">
        <f>SUM(BV688:DU688)</f>
        <v>81</v>
      </c>
      <c r="DW688" s="13" t="str">
        <f t="shared" ref="DW688:DW711" si="337">IF(DV688=S688,"","PROB")</f>
        <v/>
      </c>
      <c r="DY688">
        <f>S688</f>
        <v>81</v>
      </c>
    </row>
    <row r="689" spans="1:130" customFormat="1">
      <c r="A689" s="210">
        <v>40374</v>
      </c>
      <c r="B689" s="211"/>
      <c r="C689" s="8">
        <v>3</v>
      </c>
      <c r="D689" s="10">
        <v>6</v>
      </c>
      <c r="E689" s="10">
        <v>1</v>
      </c>
      <c r="F689" s="59">
        <v>0</v>
      </c>
      <c r="G689" s="59">
        <v>0</v>
      </c>
      <c r="H689" s="59">
        <v>2</v>
      </c>
      <c r="I689" s="59">
        <v>0</v>
      </c>
      <c r="J689" s="59">
        <v>12</v>
      </c>
      <c r="K689" s="59">
        <v>0</v>
      </c>
      <c r="L689" s="59">
        <v>0</v>
      </c>
      <c r="M689" s="59">
        <v>0</v>
      </c>
      <c r="N689" s="59">
        <v>0</v>
      </c>
      <c r="O689" s="59">
        <v>5</v>
      </c>
      <c r="P689" s="59">
        <v>2</v>
      </c>
      <c r="Q689" s="59">
        <v>0</v>
      </c>
      <c r="R689" s="59">
        <v>0</v>
      </c>
      <c r="S689" s="35">
        <f>SUM(C689:R689)</f>
        <v>31</v>
      </c>
      <c r="T689" s="59"/>
      <c r="U689" s="59">
        <v>9</v>
      </c>
      <c r="V689" s="59">
        <v>9</v>
      </c>
      <c r="W689" s="59">
        <v>0</v>
      </c>
      <c r="X689" s="5">
        <v>0</v>
      </c>
      <c r="Y689" s="10"/>
      <c r="Z689" s="61">
        <v>327041</v>
      </c>
      <c r="AA689" s="219"/>
      <c r="AB689" s="219"/>
      <c r="AC689" s="61">
        <v>646895</v>
      </c>
      <c r="AD689" s="59"/>
      <c r="AE689" s="35">
        <f t="shared" si="336"/>
        <v>646895</v>
      </c>
      <c r="AF689" s="10"/>
      <c r="AG689" s="61">
        <v>61</v>
      </c>
      <c r="AH689" s="59">
        <v>52</v>
      </c>
      <c r="AI689" s="59">
        <v>130</v>
      </c>
      <c r="AJ689" s="62"/>
      <c r="AK689" s="10"/>
      <c r="AL689" s="8"/>
      <c r="AM689" s="10"/>
      <c r="AN689" s="35"/>
      <c r="AO689" s="279"/>
      <c r="AP689" s="279"/>
      <c r="AQ689" s="281"/>
      <c r="AR689" s="59">
        <v>142</v>
      </c>
      <c r="AS689" s="59">
        <v>92</v>
      </c>
      <c r="AT689" s="59">
        <v>158</v>
      </c>
      <c r="AU689" s="59">
        <v>17</v>
      </c>
      <c r="AV689" s="62">
        <v>315</v>
      </c>
      <c r="AW689" s="10"/>
      <c r="AX689" s="326">
        <v>40372</v>
      </c>
      <c r="AY689" s="5">
        <v>-2</v>
      </c>
      <c r="AZ689" s="10"/>
      <c r="BA689" s="61"/>
      <c r="BB689" s="59"/>
      <c r="BC689" s="59"/>
      <c r="BD689" s="59"/>
      <c r="BE689" s="59"/>
      <c r="BF689" s="59"/>
      <c r="BG689" s="59"/>
      <c r="BH689" s="351"/>
      <c r="BI689" s="59"/>
      <c r="BJ689" s="342"/>
      <c r="BK689" s="342"/>
      <c r="BL689" s="320"/>
      <c r="BM689" s="62"/>
      <c r="BN689" s="10"/>
      <c r="BO689" s="8"/>
      <c r="BP689" s="62"/>
      <c r="BQ689" s="10"/>
      <c r="BR689" s="29">
        <v>2011</v>
      </c>
      <c r="BS689" s="64">
        <v>2010</v>
      </c>
      <c r="BT689" s="14">
        <v>14</v>
      </c>
      <c r="BU689" s="10"/>
      <c r="BV689" s="8">
        <v>1</v>
      </c>
      <c r="BW689" s="10"/>
      <c r="BX689" s="59"/>
      <c r="BY689" s="59"/>
      <c r="BZ689" s="59"/>
      <c r="CA689" s="59"/>
      <c r="CB689" s="59">
        <v>1</v>
      </c>
      <c r="CC689" s="221"/>
      <c r="CD689" s="59">
        <v>5</v>
      </c>
      <c r="CE689" s="59"/>
      <c r="CF689" s="221"/>
      <c r="CG689" s="59"/>
      <c r="CH689" s="59"/>
      <c r="CI689" s="59">
        <v>7</v>
      </c>
      <c r="CJ689" s="59">
        <v>3</v>
      </c>
      <c r="CK689" s="59"/>
      <c r="CL689" s="59"/>
      <c r="CM689" s="59"/>
      <c r="CN689" s="59"/>
      <c r="CO689" s="59">
        <v>2</v>
      </c>
      <c r="CP689" s="317"/>
      <c r="CQ689" s="59"/>
      <c r="CR689" s="59"/>
      <c r="CS689" s="59"/>
      <c r="CT689" s="59">
        <v>2</v>
      </c>
      <c r="CU689" s="221"/>
      <c r="CV689" s="59"/>
      <c r="CW689" s="59"/>
      <c r="CX689" s="59"/>
      <c r="CY689" s="59"/>
      <c r="CZ689" s="59"/>
      <c r="DA689" s="59"/>
      <c r="DB689" s="59">
        <v>4</v>
      </c>
      <c r="DC689" s="59"/>
      <c r="DD689" s="59"/>
      <c r="DE689" s="59"/>
      <c r="DF689" s="59"/>
      <c r="DG689" s="59">
        <v>2</v>
      </c>
      <c r="DH689" s="59"/>
      <c r="DI689" s="59"/>
      <c r="DJ689" s="59"/>
      <c r="DK689" s="59"/>
      <c r="DL689" s="221"/>
      <c r="DM689" s="59">
        <v>1</v>
      </c>
      <c r="DN689" s="59"/>
      <c r="DO689" s="59"/>
      <c r="DP689" s="59"/>
      <c r="DQ689" s="59"/>
      <c r="DR689" s="59"/>
      <c r="DS689" s="59">
        <v>3</v>
      </c>
      <c r="DT689" s="59"/>
      <c r="DU689" s="59"/>
      <c r="DV689" s="38">
        <f t="shared" ref="DV689:DV712" si="338">SUM(BV689:DU689)</f>
        <v>31</v>
      </c>
      <c r="DW689" s="14" t="str">
        <f t="shared" si="337"/>
        <v/>
      </c>
      <c r="DY689">
        <f>S689</f>
        <v>31</v>
      </c>
    </row>
    <row r="690" spans="1:130" customFormat="1">
      <c r="A690" s="210">
        <v>40391</v>
      </c>
      <c r="B690" s="211"/>
      <c r="C690" s="8">
        <v>2</v>
      </c>
      <c r="D690" s="10">
        <v>13</v>
      </c>
      <c r="E690" s="10">
        <v>0</v>
      </c>
      <c r="F690" s="59">
        <v>1</v>
      </c>
      <c r="G690" s="59">
        <v>0</v>
      </c>
      <c r="H690" s="59">
        <v>1</v>
      </c>
      <c r="I690" s="59">
        <v>0</v>
      </c>
      <c r="J690" s="59">
        <v>7</v>
      </c>
      <c r="K690" s="59">
        <v>0</v>
      </c>
      <c r="L690" s="59">
        <v>0</v>
      </c>
      <c r="M690" s="59">
        <v>0</v>
      </c>
      <c r="N690" s="59">
        <v>0</v>
      </c>
      <c r="O690" s="59">
        <v>7</v>
      </c>
      <c r="P690" s="59">
        <v>1</v>
      </c>
      <c r="Q690" s="59">
        <v>0</v>
      </c>
      <c r="R690" s="59">
        <v>0</v>
      </c>
      <c r="S690" s="35">
        <f>SUM(C690:R690)</f>
        <v>32</v>
      </c>
      <c r="T690" s="59"/>
      <c r="U690" s="59">
        <v>16</v>
      </c>
      <c r="V690" s="59">
        <v>11</v>
      </c>
      <c r="W690" s="59">
        <v>0</v>
      </c>
      <c r="X690" s="5">
        <v>0</v>
      </c>
      <c r="Y690" s="10"/>
      <c r="Z690" s="61">
        <v>363166</v>
      </c>
      <c r="AA690" s="100"/>
      <c r="AB690" s="100"/>
      <c r="AC690" s="61">
        <v>954524</v>
      </c>
      <c r="AD690" s="59"/>
      <c r="AE690" s="35">
        <f t="shared" si="336"/>
        <v>954524</v>
      </c>
      <c r="AF690" s="10"/>
      <c r="AG690" s="61">
        <v>69</v>
      </c>
      <c r="AH690" s="59">
        <v>57</v>
      </c>
      <c r="AI690" s="59">
        <v>140</v>
      </c>
      <c r="AJ690" s="62"/>
      <c r="AK690" s="10"/>
      <c r="AL690" s="8"/>
      <c r="AM690" s="10"/>
      <c r="AN690" s="35"/>
      <c r="AO690" s="279"/>
      <c r="AP690" s="279"/>
      <c r="AQ690" s="281"/>
      <c r="AR690" s="59">
        <v>146</v>
      </c>
      <c r="AS690" s="59"/>
      <c r="AT690" s="59"/>
      <c r="AU690" s="59"/>
      <c r="AV690" s="62"/>
      <c r="AW690" s="10"/>
      <c r="AX690" s="326">
        <v>40387</v>
      </c>
      <c r="AY690" s="5">
        <v>-4</v>
      </c>
      <c r="AZ690" s="10"/>
      <c r="BA690" s="61">
        <v>1968</v>
      </c>
      <c r="BB690" s="59">
        <v>65213940</v>
      </c>
      <c r="BC690" s="59"/>
      <c r="BD690" s="59"/>
      <c r="BE690" s="59">
        <v>48</v>
      </c>
      <c r="BF690" s="59">
        <v>4</v>
      </c>
      <c r="BG690" s="59">
        <v>5</v>
      </c>
      <c r="BH690" s="30">
        <f>SUM(BE690:BG690)</f>
        <v>57</v>
      </c>
      <c r="BI690" s="59">
        <v>3472120</v>
      </c>
      <c r="BJ690" s="342">
        <v>40400</v>
      </c>
      <c r="BK690" s="342">
        <v>40395</v>
      </c>
      <c r="BL690" s="320">
        <f>BK690-BJ690</f>
        <v>-5</v>
      </c>
      <c r="BM690" s="62"/>
      <c r="BN690" s="10"/>
      <c r="BO690" s="8"/>
      <c r="BP690" s="62">
        <v>166</v>
      </c>
      <c r="BQ690" s="10"/>
      <c r="BR690" s="29">
        <v>2011</v>
      </c>
      <c r="BS690" s="64">
        <v>2010</v>
      </c>
      <c r="BT690" s="14">
        <v>15</v>
      </c>
      <c r="BU690" s="10"/>
      <c r="BV690" s="8"/>
      <c r="BW690" s="10">
        <v>2</v>
      </c>
      <c r="BX690" s="59"/>
      <c r="BY690" s="59"/>
      <c r="BZ690" s="59"/>
      <c r="CA690" s="59"/>
      <c r="CB690" s="59"/>
      <c r="CC690" s="221"/>
      <c r="CD690" s="59">
        <v>3</v>
      </c>
      <c r="CE690" s="59"/>
      <c r="CF690" s="221"/>
      <c r="CG690" s="59">
        <v>2</v>
      </c>
      <c r="CH690" s="59"/>
      <c r="CI690" s="59"/>
      <c r="CJ690" s="59">
        <v>5</v>
      </c>
      <c r="CK690" s="59"/>
      <c r="CL690" s="59"/>
      <c r="CM690" s="59"/>
      <c r="CN690" s="59"/>
      <c r="CO690" s="59"/>
      <c r="CP690" s="317"/>
      <c r="CQ690" s="59"/>
      <c r="CR690" s="59"/>
      <c r="CS690" s="59"/>
      <c r="CT690" s="59">
        <v>6</v>
      </c>
      <c r="CU690" s="221"/>
      <c r="CV690" s="59">
        <v>2</v>
      </c>
      <c r="CW690" s="59"/>
      <c r="CX690" s="59"/>
      <c r="CY690" s="59"/>
      <c r="CZ690" s="59">
        <v>2</v>
      </c>
      <c r="DA690" s="59"/>
      <c r="DB690" s="59"/>
      <c r="DC690" s="59"/>
      <c r="DD690" s="59"/>
      <c r="DE690" s="59"/>
      <c r="DF690" s="59"/>
      <c r="DG690" s="59">
        <v>5</v>
      </c>
      <c r="DH690" s="59"/>
      <c r="DI690" s="59"/>
      <c r="DJ690" s="59"/>
      <c r="DK690" s="59"/>
      <c r="DL690" s="221"/>
      <c r="DM690" s="59">
        <v>1</v>
      </c>
      <c r="DN690" s="59"/>
      <c r="DO690" s="59">
        <v>4</v>
      </c>
      <c r="DP690" s="59"/>
      <c r="DQ690" s="59"/>
      <c r="DR690" s="59"/>
      <c r="DS690" s="59"/>
      <c r="DT690" s="59"/>
      <c r="DU690" s="59"/>
      <c r="DV690" s="38">
        <f t="shared" si="338"/>
        <v>32</v>
      </c>
      <c r="DW690" s="14" t="str">
        <f t="shared" si="337"/>
        <v/>
      </c>
      <c r="DY690">
        <f>S690</f>
        <v>32</v>
      </c>
    </row>
    <row r="691" spans="1:130" customFormat="1">
      <c r="A691" s="210">
        <v>40405</v>
      </c>
      <c r="B691" s="211"/>
      <c r="C691" s="61">
        <v>2</v>
      </c>
      <c r="D691" s="59">
        <v>16</v>
      </c>
      <c r="E691" s="59">
        <v>0</v>
      </c>
      <c r="F691" s="59">
        <v>0</v>
      </c>
      <c r="G691" s="59">
        <v>0</v>
      </c>
      <c r="H691" s="59">
        <v>2</v>
      </c>
      <c r="I691" s="59">
        <v>0</v>
      </c>
      <c r="J691" s="59">
        <v>3</v>
      </c>
      <c r="K691" s="59">
        <v>0</v>
      </c>
      <c r="L691" s="59">
        <v>0</v>
      </c>
      <c r="M691" s="59">
        <v>0</v>
      </c>
      <c r="N691" s="59">
        <v>0</v>
      </c>
      <c r="O691" s="59">
        <v>15</v>
      </c>
      <c r="P691" s="59">
        <v>2</v>
      </c>
      <c r="Q691" s="59">
        <v>0</v>
      </c>
      <c r="R691" s="59">
        <v>0</v>
      </c>
      <c r="S691" s="35">
        <f>SUM(C691:R691)</f>
        <v>40</v>
      </c>
      <c r="T691" s="59"/>
      <c r="U691" s="59">
        <v>13</v>
      </c>
      <c r="V691" s="59">
        <v>12</v>
      </c>
      <c r="W691" s="59">
        <v>0</v>
      </c>
      <c r="X691" s="62">
        <v>0</v>
      </c>
      <c r="Y691" s="59"/>
      <c r="Z691" s="61">
        <v>375891</v>
      </c>
      <c r="AA691" s="101"/>
      <c r="AB691" s="101"/>
      <c r="AC691" s="61">
        <v>1266554</v>
      </c>
      <c r="AD691" s="59"/>
      <c r="AE691" s="35">
        <f t="shared" si="336"/>
        <v>1266554</v>
      </c>
      <c r="AF691" s="10"/>
      <c r="AG691" s="61">
        <v>75</v>
      </c>
      <c r="AH691" s="59">
        <v>58</v>
      </c>
      <c r="AI691" s="59">
        <v>148</v>
      </c>
      <c r="AJ691" s="62"/>
      <c r="AK691" s="10"/>
      <c r="AL691" s="8"/>
      <c r="AM691" s="10"/>
      <c r="AN691" s="35"/>
      <c r="AO691" s="279"/>
      <c r="AP691" s="279"/>
      <c r="AQ691" s="281"/>
      <c r="AR691" s="59">
        <v>144</v>
      </c>
      <c r="AS691" s="59">
        <v>92</v>
      </c>
      <c r="AT691" s="59">
        <v>158</v>
      </c>
      <c r="AU691" s="59">
        <v>17</v>
      </c>
      <c r="AV691" s="62">
        <v>315</v>
      </c>
      <c r="AW691" s="10"/>
      <c r="AX691" s="326">
        <v>40401</v>
      </c>
      <c r="AY691" s="5">
        <v>-4</v>
      </c>
      <c r="AZ691" s="10"/>
      <c r="BA691" s="61"/>
      <c r="BB691" s="59"/>
      <c r="BC691" s="59"/>
      <c r="BD691" s="59"/>
      <c r="BE691" s="59"/>
      <c r="BF691" s="59"/>
      <c r="BG691" s="59"/>
      <c r="BH691" s="351"/>
      <c r="BI691" s="59"/>
      <c r="BJ691" s="342"/>
      <c r="BK691" s="342"/>
      <c r="BL691" s="320"/>
      <c r="BM691" s="62"/>
      <c r="BN691" s="10"/>
      <c r="BO691" s="8"/>
      <c r="BP691" s="62"/>
      <c r="BQ691" s="10"/>
      <c r="BR691" s="29">
        <v>2011</v>
      </c>
      <c r="BS691" s="64">
        <v>2010</v>
      </c>
      <c r="BT691" s="14">
        <v>16</v>
      </c>
      <c r="BU691" s="10"/>
      <c r="BV691" s="8"/>
      <c r="BW691" s="59"/>
      <c r="BX691" s="59"/>
      <c r="BY691" s="59"/>
      <c r="BZ691" s="59"/>
      <c r="CA691" s="59">
        <v>6</v>
      </c>
      <c r="CB691" s="59"/>
      <c r="CC691" s="221"/>
      <c r="CD691" s="59">
        <v>2</v>
      </c>
      <c r="CE691" s="59"/>
      <c r="CF691" s="221"/>
      <c r="CG691" s="59"/>
      <c r="CH691" s="59"/>
      <c r="CI691" s="59"/>
      <c r="CJ691" s="59">
        <v>1</v>
      </c>
      <c r="CK691" s="59"/>
      <c r="CL691" s="59"/>
      <c r="CM691" s="59"/>
      <c r="CN691" s="59"/>
      <c r="CO691" s="59">
        <v>2</v>
      </c>
      <c r="CP691" s="317"/>
      <c r="CQ691" s="59"/>
      <c r="CR691" s="59"/>
      <c r="CS691" s="59"/>
      <c r="CT691" s="59">
        <v>1</v>
      </c>
      <c r="CU691" s="221"/>
      <c r="CV691" s="59">
        <v>1</v>
      </c>
      <c r="CW691" s="59">
        <v>2</v>
      </c>
      <c r="CX691" s="59"/>
      <c r="CY691" s="59"/>
      <c r="CZ691" s="59"/>
      <c r="DA691" s="59"/>
      <c r="DB691" s="59">
        <v>2</v>
      </c>
      <c r="DC691" s="59"/>
      <c r="DD691" s="59"/>
      <c r="DE691" s="59"/>
      <c r="DF691" s="59"/>
      <c r="DG691" s="59">
        <v>2</v>
      </c>
      <c r="DH691" s="59"/>
      <c r="DI691" s="59"/>
      <c r="DJ691" s="59"/>
      <c r="DK691" s="59"/>
      <c r="DL691" s="221"/>
      <c r="DM691" s="59">
        <v>14</v>
      </c>
      <c r="DN691" s="59">
        <v>6</v>
      </c>
      <c r="DO691" s="59"/>
      <c r="DP691" s="59"/>
      <c r="DQ691" s="59"/>
      <c r="DR691" s="59"/>
      <c r="DS691" s="59">
        <v>1</v>
      </c>
      <c r="DT691" s="59"/>
      <c r="DU691" s="59"/>
      <c r="DV691" s="38">
        <f t="shared" si="338"/>
        <v>40</v>
      </c>
      <c r="DW691" s="14" t="str">
        <f t="shared" si="337"/>
        <v/>
      </c>
      <c r="DY691">
        <f>S691</f>
        <v>40</v>
      </c>
    </row>
    <row r="692" spans="1:130" customFormat="1">
      <c r="A692" s="210">
        <v>40422</v>
      </c>
      <c r="B692" s="211"/>
      <c r="C692" s="61">
        <v>3</v>
      </c>
      <c r="D692" s="59">
        <v>25</v>
      </c>
      <c r="E692" s="59">
        <v>1</v>
      </c>
      <c r="F692" s="59">
        <v>0</v>
      </c>
      <c r="G692" s="59">
        <v>0</v>
      </c>
      <c r="H692" s="59">
        <v>0</v>
      </c>
      <c r="I692" s="59">
        <v>0</v>
      </c>
      <c r="J692" s="59">
        <v>8</v>
      </c>
      <c r="K692" s="59">
        <v>0</v>
      </c>
      <c r="L692" s="59">
        <v>0</v>
      </c>
      <c r="M692" s="59">
        <v>0</v>
      </c>
      <c r="N692" s="59">
        <v>0</v>
      </c>
      <c r="O692" s="59">
        <v>32</v>
      </c>
      <c r="P692" s="59">
        <v>1</v>
      </c>
      <c r="Q692" s="59">
        <v>0</v>
      </c>
      <c r="R692" s="59">
        <v>0</v>
      </c>
      <c r="S692" s="35">
        <f>SUM(C692:R692)</f>
        <v>70</v>
      </c>
      <c r="T692" s="59"/>
      <c r="U692" s="59">
        <v>12</v>
      </c>
      <c r="V692" s="59">
        <v>12</v>
      </c>
      <c r="W692" s="59">
        <v>0</v>
      </c>
      <c r="X692" s="62">
        <v>0</v>
      </c>
      <c r="Y692" s="59"/>
      <c r="Z692" s="61">
        <v>469821</v>
      </c>
      <c r="AA692" s="101"/>
      <c r="AB692" s="101"/>
      <c r="AC692" s="61">
        <v>1520297</v>
      </c>
      <c r="AD692" s="59"/>
      <c r="AE692" s="35">
        <f t="shared" si="336"/>
        <v>1520297</v>
      </c>
      <c r="AF692" s="10"/>
      <c r="AG692" s="61">
        <v>115</v>
      </c>
      <c r="AH692" s="59">
        <v>64</v>
      </c>
      <c r="AI692" s="59">
        <v>192</v>
      </c>
      <c r="AJ692" s="62"/>
      <c r="AK692" s="10"/>
      <c r="AL692" s="8"/>
      <c r="AM692" s="10"/>
      <c r="AN692" s="35"/>
      <c r="AO692" s="279"/>
      <c r="AP692" s="279"/>
      <c r="AQ692" s="281"/>
      <c r="AR692" s="59">
        <v>145</v>
      </c>
      <c r="AS692" s="59">
        <v>93</v>
      </c>
      <c r="AT692" s="59">
        <v>159</v>
      </c>
      <c r="AU692" s="59">
        <v>17</v>
      </c>
      <c r="AV692" s="62">
        <v>318</v>
      </c>
      <c r="AW692" s="10"/>
      <c r="AX692" s="326">
        <v>40421</v>
      </c>
      <c r="AY692" s="5">
        <v>-1</v>
      </c>
      <c r="AZ692" s="10"/>
      <c r="BA692" s="61">
        <v>1973</v>
      </c>
      <c r="BB692" s="59">
        <v>65654615</v>
      </c>
      <c r="BC692" s="59"/>
      <c r="BD692" s="59"/>
      <c r="BE692" s="59">
        <v>98</v>
      </c>
      <c r="BF692" s="59">
        <v>6</v>
      </c>
      <c r="BG692" s="59">
        <v>1</v>
      </c>
      <c r="BH692" s="30">
        <f>SUM(BE692:BG692)</f>
        <v>105</v>
      </c>
      <c r="BI692" s="59">
        <v>4646791</v>
      </c>
      <c r="BJ692" s="342">
        <v>40431</v>
      </c>
      <c r="BK692" s="342">
        <v>40431</v>
      </c>
      <c r="BL692" s="320">
        <f>BK692-BJ692</f>
        <v>0</v>
      </c>
      <c r="BM692" s="62"/>
      <c r="BN692" s="59"/>
      <c r="BO692" s="61"/>
      <c r="BP692" s="62">
        <v>166</v>
      </c>
      <c r="BQ692" s="10"/>
      <c r="BR692" s="29">
        <v>2011</v>
      </c>
      <c r="BS692" s="64">
        <v>2010</v>
      </c>
      <c r="BT692" s="14">
        <v>17</v>
      </c>
      <c r="BU692" s="10"/>
      <c r="BV692" s="8"/>
      <c r="BW692" s="59">
        <v>8</v>
      </c>
      <c r="BX692" s="59"/>
      <c r="BY692" s="59"/>
      <c r="BZ692" s="59"/>
      <c r="CA692" s="59"/>
      <c r="CB692" s="59"/>
      <c r="CC692" s="221"/>
      <c r="CD692" s="59">
        <v>8</v>
      </c>
      <c r="CE692" s="59"/>
      <c r="CF692" s="221"/>
      <c r="CG692" s="59"/>
      <c r="CH692" s="59"/>
      <c r="CI692" s="59">
        <v>5</v>
      </c>
      <c r="CJ692" s="59">
        <v>11</v>
      </c>
      <c r="CK692" s="59"/>
      <c r="CL692" s="59">
        <v>1</v>
      </c>
      <c r="CM692" s="59"/>
      <c r="CN692" s="59"/>
      <c r="CO692" s="59"/>
      <c r="CP692" s="317"/>
      <c r="CQ692" s="59"/>
      <c r="CR692" s="59"/>
      <c r="CS692" s="59"/>
      <c r="CT692" s="59">
        <v>4</v>
      </c>
      <c r="CU692" s="221"/>
      <c r="CV692" s="59"/>
      <c r="CW692" s="59"/>
      <c r="CX692" s="59"/>
      <c r="CY692" s="59"/>
      <c r="CZ692" s="59"/>
      <c r="DA692" s="59"/>
      <c r="DB692" s="59">
        <v>19</v>
      </c>
      <c r="DC692" s="59"/>
      <c r="DD692" s="59"/>
      <c r="DE692" s="59"/>
      <c r="DF692" s="59"/>
      <c r="DG692" s="59">
        <v>3</v>
      </c>
      <c r="DH692" s="59">
        <v>1</v>
      </c>
      <c r="DI692" s="59"/>
      <c r="DJ692" s="59"/>
      <c r="DK692" s="59"/>
      <c r="DL692" s="221"/>
      <c r="DM692" s="59"/>
      <c r="DN692" s="59">
        <v>3</v>
      </c>
      <c r="DO692" s="59">
        <v>7</v>
      </c>
      <c r="DP692" s="59"/>
      <c r="DQ692" s="59"/>
      <c r="DR692" s="59"/>
      <c r="DS692" s="59"/>
      <c r="DT692" s="59"/>
      <c r="DU692" s="59"/>
      <c r="DV692" s="38">
        <f t="shared" si="338"/>
        <v>70</v>
      </c>
      <c r="DW692" s="14" t="str">
        <f t="shared" si="337"/>
        <v/>
      </c>
      <c r="DY692">
        <f>S692</f>
        <v>70</v>
      </c>
    </row>
    <row r="693" spans="1:130" customFormat="1">
      <c r="A693" s="210">
        <v>40436</v>
      </c>
      <c r="B693" s="211"/>
      <c r="C693" s="61">
        <v>3</v>
      </c>
      <c r="D693" s="59">
        <v>31</v>
      </c>
      <c r="E693" s="59">
        <v>1</v>
      </c>
      <c r="F693" s="59">
        <v>0</v>
      </c>
      <c r="G693" s="59">
        <v>0</v>
      </c>
      <c r="H693" s="59">
        <v>0</v>
      </c>
      <c r="I693" s="59">
        <v>0</v>
      </c>
      <c r="J693" s="59">
        <v>15</v>
      </c>
      <c r="K693" s="59">
        <v>0</v>
      </c>
      <c r="L693" s="59">
        <v>0</v>
      </c>
      <c r="M693" s="59">
        <v>0</v>
      </c>
      <c r="N693" s="59">
        <v>0</v>
      </c>
      <c r="O693" s="59">
        <v>54</v>
      </c>
      <c r="P693" s="59">
        <v>0</v>
      </c>
      <c r="Q693" s="59">
        <v>0</v>
      </c>
      <c r="R693" s="59">
        <v>0</v>
      </c>
      <c r="S693" s="35">
        <f t="shared" ref="S693:S707" si="339">SUM(C693:R693)</f>
        <v>104</v>
      </c>
      <c r="T693" s="59"/>
      <c r="U693" s="59">
        <v>16</v>
      </c>
      <c r="V693" s="59">
        <v>16</v>
      </c>
      <c r="W693" s="59">
        <v>0</v>
      </c>
      <c r="X693" s="62">
        <v>0</v>
      </c>
      <c r="Y693" s="59"/>
      <c r="Z693" s="61">
        <v>484041</v>
      </c>
      <c r="AA693" s="101"/>
      <c r="AB693" s="101"/>
      <c r="AC693" s="61">
        <v>1433910</v>
      </c>
      <c r="AD693" s="59"/>
      <c r="AE693" s="35">
        <f t="shared" si="336"/>
        <v>1433910</v>
      </c>
      <c r="AF693" s="10"/>
      <c r="AG693" s="61">
        <v>109</v>
      </c>
      <c r="AH693" s="59">
        <v>68</v>
      </c>
      <c r="AI693" s="59">
        <v>196</v>
      </c>
      <c r="AJ693" s="62"/>
      <c r="AK693" s="10"/>
      <c r="AL693" s="8"/>
      <c r="AM693" s="10"/>
      <c r="AN693" s="35"/>
      <c r="AO693" s="279"/>
      <c r="AP693" s="279"/>
      <c r="AQ693" s="281"/>
      <c r="AR693" s="59">
        <v>145</v>
      </c>
      <c r="AS693" s="59">
        <v>93</v>
      </c>
      <c r="AT693" s="59">
        <v>160</v>
      </c>
      <c r="AU693" s="59">
        <v>17</v>
      </c>
      <c r="AV693" s="62">
        <v>319</v>
      </c>
      <c r="AW693" s="10"/>
      <c r="AX693" s="326">
        <v>40434</v>
      </c>
      <c r="AY693" s="5">
        <v>-2</v>
      </c>
      <c r="AZ693" s="10"/>
      <c r="BA693" s="61"/>
      <c r="BB693" s="59"/>
      <c r="BC693" s="59"/>
      <c r="BD693" s="59"/>
      <c r="BE693" s="59"/>
      <c r="BF693" s="59"/>
      <c r="BG693" s="59"/>
      <c r="BH693" s="351"/>
      <c r="BI693" s="59"/>
      <c r="BJ693" s="342"/>
      <c r="BK693" s="342"/>
      <c r="BL693" s="320"/>
      <c r="BM693" s="62"/>
      <c r="BN693" s="10"/>
      <c r="BO693" s="8"/>
      <c r="BP693" s="62"/>
      <c r="BQ693" s="10"/>
      <c r="BR693" s="29">
        <v>2011</v>
      </c>
      <c r="BS693" s="64">
        <v>2010</v>
      </c>
      <c r="BT693" s="14">
        <v>18</v>
      </c>
      <c r="BU693" s="10"/>
      <c r="BV693" s="8">
        <v>2</v>
      </c>
      <c r="BW693" s="59">
        <v>12</v>
      </c>
      <c r="BX693" s="59"/>
      <c r="BY693" s="59"/>
      <c r="BZ693" s="59"/>
      <c r="CA693" s="59"/>
      <c r="CB693" s="59"/>
      <c r="CC693" s="221"/>
      <c r="CD693" s="59">
        <v>1</v>
      </c>
      <c r="CE693" s="59"/>
      <c r="CF693" s="221"/>
      <c r="CG693" s="59"/>
      <c r="CH693" s="59"/>
      <c r="CI693" s="59">
        <v>12</v>
      </c>
      <c r="CJ693" s="59">
        <v>3</v>
      </c>
      <c r="CK693" s="59"/>
      <c r="CL693" s="59"/>
      <c r="CM693" s="59"/>
      <c r="CN693" s="59"/>
      <c r="CO693" s="59">
        <v>9</v>
      </c>
      <c r="CP693" s="317"/>
      <c r="CQ693" s="59">
        <v>1</v>
      </c>
      <c r="CR693" s="59"/>
      <c r="CS693" s="59"/>
      <c r="CT693" s="59"/>
      <c r="CU693" s="221"/>
      <c r="CV693" s="59">
        <v>3</v>
      </c>
      <c r="CW693" s="59"/>
      <c r="CX693" s="59">
        <v>2</v>
      </c>
      <c r="CY693" s="59">
        <v>3</v>
      </c>
      <c r="CZ693" s="59"/>
      <c r="DA693" s="59"/>
      <c r="DB693" s="59">
        <v>38</v>
      </c>
      <c r="DC693" s="59"/>
      <c r="DD693" s="59"/>
      <c r="DE693" s="59"/>
      <c r="DF693" s="59"/>
      <c r="DG693" s="59">
        <v>4</v>
      </c>
      <c r="DH693" s="59">
        <v>2</v>
      </c>
      <c r="DI693" s="59"/>
      <c r="DJ693" s="59">
        <v>9</v>
      </c>
      <c r="DK693" s="59"/>
      <c r="DL693" s="221"/>
      <c r="DM693" s="59">
        <v>1</v>
      </c>
      <c r="DN693" s="59"/>
      <c r="DO693" s="59"/>
      <c r="DP693" s="59"/>
      <c r="DQ693" s="59"/>
      <c r="DR693" s="59"/>
      <c r="DS693" s="59">
        <v>2</v>
      </c>
      <c r="DT693" s="59"/>
      <c r="DU693" s="59"/>
      <c r="DV693" s="38">
        <f t="shared" si="338"/>
        <v>104</v>
      </c>
      <c r="DW693" s="14" t="str">
        <f t="shared" si="337"/>
        <v/>
      </c>
      <c r="DY693">
        <f t="shared" ref="DY693:DY711" si="340">S693</f>
        <v>104</v>
      </c>
    </row>
    <row r="694" spans="1:130" customFormat="1">
      <c r="A694" s="210">
        <v>40452</v>
      </c>
      <c r="B694" s="211"/>
      <c r="C694" s="61">
        <v>3</v>
      </c>
      <c r="D694" s="59">
        <v>15</v>
      </c>
      <c r="E694" s="59">
        <v>2</v>
      </c>
      <c r="F694" s="59">
        <v>0</v>
      </c>
      <c r="G694" s="59">
        <v>1</v>
      </c>
      <c r="H694" s="59">
        <v>0</v>
      </c>
      <c r="I694" s="59">
        <v>0</v>
      </c>
      <c r="J694" s="59">
        <v>14</v>
      </c>
      <c r="K694" s="59">
        <v>0</v>
      </c>
      <c r="L694" s="59">
        <v>0</v>
      </c>
      <c r="M694" s="59">
        <v>0</v>
      </c>
      <c r="N694" s="59">
        <v>0</v>
      </c>
      <c r="O694" s="59">
        <v>6</v>
      </c>
      <c r="P694" s="59">
        <v>2</v>
      </c>
      <c r="Q694" s="59">
        <v>0</v>
      </c>
      <c r="R694" s="59">
        <v>0</v>
      </c>
      <c r="S694" s="35">
        <f t="shared" si="339"/>
        <v>43</v>
      </c>
      <c r="T694" s="59"/>
      <c r="U694" s="59">
        <v>6</v>
      </c>
      <c r="V694" s="59">
        <v>5</v>
      </c>
      <c r="W694" s="59">
        <v>0</v>
      </c>
      <c r="X694" s="5">
        <v>1</v>
      </c>
      <c r="Y694" s="10"/>
      <c r="Z694" s="61">
        <v>430656</v>
      </c>
      <c r="AA694" s="101"/>
      <c r="AB694" s="101"/>
      <c r="AC694" s="61">
        <v>632977</v>
      </c>
      <c r="AD694" s="59"/>
      <c r="AE694" s="35">
        <f t="shared" si="336"/>
        <v>632977</v>
      </c>
      <c r="AF694" s="10"/>
      <c r="AG694" s="61">
        <v>76</v>
      </c>
      <c r="AH694" s="59">
        <v>70</v>
      </c>
      <c r="AI694" s="59">
        <v>162</v>
      </c>
      <c r="AJ694" s="62"/>
      <c r="AK694" s="10"/>
      <c r="AL694" s="61">
        <v>0</v>
      </c>
      <c r="AM694" s="59">
        <v>38</v>
      </c>
      <c r="AN694" s="35">
        <f>SUM(AL694:AM694)</f>
        <v>38</v>
      </c>
      <c r="AO694" s="279"/>
      <c r="AP694" s="279"/>
      <c r="AQ694" s="281"/>
      <c r="AR694" s="59">
        <v>146</v>
      </c>
      <c r="AS694" s="59">
        <v>99</v>
      </c>
      <c r="AT694" s="59">
        <v>162</v>
      </c>
      <c r="AU694" s="59">
        <v>17</v>
      </c>
      <c r="AV694" s="62">
        <v>327</v>
      </c>
      <c r="AW694" s="10"/>
      <c r="AX694" s="326">
        <v>40449</v>
      </c>
      <c r="AY694" s="5">
        <v>-3</v>
      </c>
      <c r="AZ694" s="10"/>
      <c r="BA694" s="61">
        <v>1974</v>
      </c>
      <c r="BB694" s="59">
        <v>66119653</v>
      </c>
      <c r="BC694" s="59"/>
      <c r="BD694" s="59"/>
      <c r="BE694" s="59">
        <v>79</v>
      </c>
      <c r="BF694" s="59">
        <v>2</v>
      </c>
      <c r="BG694" s="59">
        <v>1</v>
      </c>
      <c r="BH694" s="30">
        <f>SUM(BE694:BG694)</f>
        <v>82</v>
      </c>
      <c r="BI694" s="59">
        <v>3797546</v>
      </c>
      <c r="BJ694" s="342">
        <v>40461</v>
      </c>
      <c r="BK694" s="342">
        <v>40460</v>
      </c>
      <c r="BL694" s="320">
        <f>BK694-BJ694</f>
        <v>-1</v>
      </c>
      <c r="BM694" s="62"/>
      <c r="BN694" s="10"/>
      <c r="BO694" s="8"/>
      <c r="BP694" s="62">
        <v>166</v>
      </c>
      <c r="BQ694" s="10"/>
      <c r="BR694" s="29">
        <v>2011</v>
      </c>
      <c r="BS694" s="64">
        <v>2010</v>
      </c>
      <c r="BT694" s="14">
        <v>19</v>
      </c>
      <c r="BU694" s="10"/>
      <c r="BV694" s="8"/>
      <c r="BW694" s="59"/>
      <c r="BX694" s="59">
        <v>2</v>
      </c>
      <c r="BY694" s="59"/>
      <c r="BZ694" s="59"/>
      <c r="CA694" s="59">
        <v>2</v>
      </c>
      <c r="CB694" s="59"/>
      <c r="CC694" s="221"/>
      <c r="CD694" s="59">
        <v>4</v>
      </c>
      <c r="CE694" s="59"/>
      <c r="CF694" s="221"/>
      <c r="CG694" s="59"/>
      <c r="CH694" s="59"/>
      <c r="CI694" s="59">
        <v>3</v>
      </c>
      <c r="CJ694" s="59">
        <v>3</v>
      </c>
      <c r="CK694" s="59"/>
      <c r="CL694" s="59"/>
      <c r="CM694" s="59"/>
      <c r="CN694" s="59"/>
      <c r="CO694" s="59">
        <v>3</v>
      </c>
      <c r="CP694" s="317"/>
      <c r="CQ694" s="59"/>
      <c r="CR694" s="59"/>
      <c r="CS694" s="59"/>
      <c r="CT694" s="59">
        <v>2</v>
      </c>
      <c r="CU694" s="221"/>
      <c r="CV694" s="59">
        <v>6</v>
      </c>
      <c r="CW694" s="59"/>
      <c r="CX694" s="59"/>
      <c r="CY694" s="59">
        <v>1</v>
      </c>
      <c r="CZ694" s="59"/>
      <c r="DA694" s="59"/>
      <c r="DB694" s="59"/>
      <c r="DC694" s="59"/>
      <c r="DD694" s="59"/>
      <c r="DE694" s="59"/>
      <c r="DF694" s="59"/>
      <c r="DG694" s="59">
        <v>1</v>
      </c>
      <c r="DH694" s="59"/>
      <c r="DI694" s="59"/>
      <c r="DJ694" s="59"/>
      <c r="DK694" s="59"/>
      <c r="DL694" s="221"/>
      <c r="DM694" s="59">
        <v>6</v>
      </c>
      <c r="DN694" s="59"/>
      <c r="DO694" s="59"/>
      <c r="DP694" s="59"/>
      <c r="DQ694" s="59"/>
      <c r="DR694" s="59"/>
      <c r="DS694" s="59">
        <v>10</v>
      </c>
      <c r="DT694" s="59"/>
      <c r="DU694" s="59"/>
      <c r="DV694" s="38">
        <f t="shared" si="338"/>
        <v>43</v>
      </c>
      <c r="DW694" s="14" t="str">
        <f t="shared" si="337"/>
        <v/>
      </c>
      <c r="DY694">
        <f t="shared" si="340"/>
        <v>43</v>
      </c>
    </row>
    <row r="695" spans="1:130" customFormat="1">
      <c r="A695" s="210">
        <v>40466</v>
      </c>
      <c r="B695" s="211"/>
      <c r="C695" s="61">
        <v>1</v>
      </c>
      <c r="D695" s="59">
        <v>16</v>
      </c>
      <c r="E695" s="59">
        <v>0</v>
      </c>
      <c r="F695" s="59">
        <v>0</v>
      </c>
      <c r="G695" s="59">
        <v>0</v>
      </c>
      <c r="H695" s="59">
        <v>2</v>
      </c>
      <c r="I695" s="59">
        <v>0</v>
      </c>
      <c r="J695" s="59">
        <v>10</v>
      </c>
      <c r="K695" s="59">
        <v>0</v>
      </c>
      <c r="L695" s="59">
        <v>0</v>
      </c>
      <c r="M695" s="59">
        <v>0</v>
      </c>
      <c r="N695" s="59">
        <v>0</v>
      </c>
      <c r="O695" s="59">
        <v>6</v>
      </c>
      <c r="P695" s="59">
        <v>1</v>
      </c>
      <c r="Q695" s="59">
        <v>0</v>
      </c>
      <c r="R695" s="59">
        <v>0</v>
      </c>
      <c r="S695" s="35">
        <f t="shared" si="339"/>
        <v>36</v>
      </c>
      <c r="T695" s="59"/>
      <c r="U695" s="59">
        <v>14</v>
      </c>
      <c r="V695" s="59">
        <v>11</v>
      </c>
      <c r="W695" s="59">
        <v>0</v>
      </c>
      <c r="X695" s="5">
        <v>0</v>
      </c>
      <c r="Y695" s="10"/>
      <c r="Z695" s="61">
        <v>434700</v>
      </c>
      <c r="AA695" s="101"/>
      <c r="AB695" s="101"/>
      <c r="AC695" s="61">
        <v>492421</v>
      </c>
      <c r="AD695" s="59"/>
      <c r="AE695" s="35">
        <f t="shared" si="336"/>
        <v>492421</v>
      </c>
      <c r="AF695" s="10"/>
      <c r="AG695" s="61">
        <v>67</v>
      </c>
      <c r="AH695" s="59">
        <v>74</v>
      </c>
      <c r="AI695" s="59">
        <v>154</v>
      </c>
      <c r="AJ695" s="62"/>
      <c r="AK695" s="10"/>
      <c r="AL695" s="8"/>
      <c r="AM695" s="59"/>
      <c r="AN695" s="35"/>
      <c r="AO695" s="279"/>
      <c r="AP695" s="279"/>
      <c r="AQ695" s="281"/>
      <c r="AR695" s="59">
        <v>147</v>
      </c>
      <c r="AS695" s="59">
        <v>99</v>
      </c>
      <c r="AT695" s="59">
        <v>161</v>
      </c>
      <c r="AU695" s="59">
        <v>17</v>
      </c>
      <c r="AV695" s="62">
        <v>326</v>
      </c>
      <c r="AW695" s="10"/>
      <c r="AX695" s="326">
        <v>40464</v>
      </c>
      <c r="AY695" s="5">
        <v>-2</v>
      </c>
      <c r="AZ695" s="10"/>
      <c r="BA695" s="61"/>
      <c r="BB695" s="6"/>
      <c r="BC695" s="59"/>
      <c r="BD695" s="59"/>
      <c r="BE695" s="59"/>
      <c r="BF695" s="59"/>
      <c r="BG695" s="59"/>
      <c r="BH695" s="351"/>
      <c r="BI695" s="59"/>
      <c r="BJ695" s="342"/>
      <c r="BK695" s="342"/>
      <c r="BL695" s="320"/>
      <c r="BM695" s="62"/>
      <c r="BN695" s="10"/>
      <c r="BO695" s="8"/>
      <c r="BP695" s="62"/>
      <c r="BQ695" s="10"/>
      <c r="BR695" s="29">
        <v>2011</v>
      </c>
      <c r="BS695" s="64">
        <v>2010</v>
      </c>
      <c r="BT695" s="14">
        <v>20</v>
      </c>
      <c r="BU695" s="10"/>
      <c r="BV695" s="8">
        <v>6</v>
      </c>
      <c r="BW695" s="59"/>
      <c r="BX695" s="59"/>
      <c r="BY695" s="59"/>
      <c r="BZ695" s="59"/>
      <c r="CA695" s="59"/>
      <c r="CB695" s="59"/>
      <c r="CC695" s="221"/>
      <c r="CD695" s="59">
        <v>15</v>
      </c>
      <c r="CE695" s="59">
        <v>1</v>
      </c>
      <c r="CF695" s="221"/>
      <c r="CG695" s="59"/>
      <c r="CH695" s="59"/>
      <c r="CI695" s="59">
        <v>2</v>
      </c>
      <c r="CJ695" s="59">
        <v>1</v>
      </c>
      <c r="CK695" s="59"/>
      <c r="CL695" s="59"/>
      <c r="CM695" s="59"/>
      <c r="CN695" s="59">
        <v>2</v>
      </c>
      <c r="CO695" s="59">
        <v>1</v>
      </c>
      <c r="CP695" s="317"/>
      <c r="CQ695" s="59"/>
      <c r="CR695" s="59"/>
      <c r="CS695" s="59"/>
      <c r="CT695" s="59"/>
      <c r="CU695" s="221"/>
      <c r="CV695" s="59">
        <v>1</v>
      </c>
      <c r="CW695" s="59"/>
      <c r="CX695" s="59"/>
      <c r="CY695" s="59">
        <v>3</v>
      </c>
      <c r="CZ695" s="59"/>
      <c r="DA695" s="59"/>
      <c r="DB695" s="59"/>
      <c r="DC695" s="59">
        <v>2</v>
      </c>
      <c r="DD695" s="59"/>
      <c r="DE695" s="59"/>
      <c r="DF695" s="59"/>
      <c r="DG695" s="59">
        <v>2</v>
      </c>
      <c r="DH695" s="59"/>
      <c r="DI695" s="59"/>
      <c r="DJ695" s="59"/>
      <c r="DK695" s="59"/>
      <c r="DL695" s="221"/>
      <c r="DM695" s="59"/>
      <c r="DN695" s="59"/>
      <c r="DO695" s="59"/>
      <c r="DP695" s="59"/>
      <c r="DQ695" s="59"/>
      <c r="DR695" s="59"/>
      <c r="DS695" s="59"/>
      <c r="DT695" s="59"/>
      <c r="DU695" s="59"/>
      <c r="DV695" s="38">
        <f t="shared" si="338"/>
        <v>36</v>
      </c>
      <c r="DW695" s="14" t="str">
        <f t="shared" si="337"/>
        <v/>
      </c>
      <c r="DY695">
        <f t="shared" si="340"/>
        <v>36</v>
      </c>
    </row>
    <row r="696" spans="1:130" customFormat="1">
      <c r="A696" s="210">
        <v>40483</v>
      </c>
      <c r="B696" s="211"/>
      <c r="C696" s="61">
        <v>1</v>
      </c>
      <c r="D696" s="59">
        <v>11</v>
      </c>
      <c r="E696" s="59">
        <v>0</v>
      </c>
      <c r="F696" s="59">
        <v>1</v>
      </c>
      <c r="G696" s="59">
        <v>0</v>
      </c>
      <c r="H696" s="59">
        <v>0</v>
      </c>
      <c r="I696" s="59">
        <v>0</v>
      </c>
      <c r="J696" s="59">
        <v>7</v>
      </c>
      <c r="K696" s="59">
        <v>0</v>
      </c>
      <c r="L696" s="59">
        <v>1</v>
      </c>
      <c r="M696" s="59">
        <v>0</v>
      </c>
      <c r="N696" s="59">
        <v>0</v>
      </c>
      <c r="O696" s="59">
        <v>3</v>
      </c>
      <c r="P696" s="59">
        <v>0</v>
      </c>
      <c r="Q696" s="59">
        <v>1</v>
      </c>
      <c r="R696" s="59">
        <v>0</v>
      </c>
      <c r="S696" s="35">
        <f t="shared" si="339"/>
        <v>25</v>
      </c>
      <c r="T696" s="59"/>
      <c r="U696" s="59">
        <v>7</v>
      </c>
      <c r="V696" s="59">
        <v>5</v>
      </c>
      <c r="W696" s="59">
        <v>0</v>
      </c>
      <c r="X696" s="5">
        <v>0</v>
      </c>
      <c r="Y696" s="10"/>
      <c r="Z696" s="61">
        <v>432376</v>
      </c>
      <c r="AA696" s="101"/>
      <c r="AB696" s="101"/>
      <c r="AC696" s="61">
        <v>415656</v>
      </c>
      <c r="AD696" s="59"/>
      <c r="AE696" s="35">
        <f t="shared" si="336"/>
        <v>415656</v>
      </c>
      <c r="AF696" s="10"/>
      <c r="AG696" s="61">
        <v>51</v>
      </c>
      <c r="AH696" s="59">
        <v>77</v>
      </c>
      <c r="AI696" s="59">
        <v>144</v>
      </c>
      <c r="AJ696" s="62"/>
      <c r="AK696" s="10"/>
      <c r="AL696" s="8"/>
      <c r="AM696" s="10"/>
      <c r="AN696" s="35"/>
      <c r="AO696" s="279"/>
      <c r="AP696" s="279"/>
      <c r="AQ696" s="281"/>
      <c r="AR696" s="59">
        <v>148</v>
      </c>
      <c r="AS696" s="59">
        <v>102</v>
      </c>
      <c r="AT696" s="59">
        <v>165</v>
      </c>
      <c r="AU696" s="59">
        <v>17</v>
      </c>
      <c r="AV696" s="62">
        <v>333</v>
      </c>
      <c r="AW696" s="10"/>
      <c r="AX696" s="326">
        <v>40479</v>
      </c>
      <c r="AY696" s="5">
        <v>-4</v>
      </c>
      <c r="AZ696" s="10"/>
      <c r="BA696" s="61">
        <v>1977</v>
      </c>
      <c r="BB696" s="59">
        <v>67219515</v>
      </c>
      <c r="BC696" s="59"/>
      <c r="BD696" s="59"/>
      <c r="BE696" s="59">
        <v>125</v>
      </c>
      <c r="BF696" s="59">
        <v>6</v>
      </c>
      <c r="BG696" s="59">
        <v>3</v>
      </c>
      <c r="BH696" s="30">
        <f>SUM(BE696:BG696)</f>
        <v>134</v>
      </c>
      <c r="BI696" s="59">
        <v>6596539</v>
      </c>
      <c r="BJ696" s="342">
        <v>40492</v>
      </c>
      <c r="BK696" s="342">
        <v>40499</v>
      </c>
      <c r="BL696" s="320">
        <f>BK696-BJ696</f>
        <v>7</v>
      </c>
      <c r="BM696" s="62"/>
      <c r="BN696" s="10"/>
      <c r="BO696" s="8"/>
      <c r="BP696" s="62">
        <v>166</v>
      </c>
      <c r="BQ696" s="10"/>
      <c r="BR696" s="29">
        <v>2011</v>
      </c>
      <c r="BS696" s="64">
        <v>2010</v>
      </c>
      <c r="BT696" s="14">
        <v>21</v>
      </c>
      <c r="BU696" s="10"/>
      <c r="BV696" s="8"/>
      <c r="BW696" s="59"/>
      <c r="BX696" s="59"/>
      <c r="BY696" s="59"/>
      <c r="BZ696" s="59"/>
      <c r="CA696" s="59"/>
      <c r="CB696" s="59"/>
      <c r="CC696" s="221"/>
      <c r="CD696" s="59">
        <v>1</v>
      </c>
      <c r="CE696" s="59">
        <v>2</v>
      </c>
      <c r="CF696" s="221"/>
      <c r="CG696" s="59"/>
      <c r="CH696" s="59"/>
      <c r="CI696" s="59">
        <v>4</v>
      </c>
      <c r="CJ696" s="59"/>
      <c r="CK696" s="59"/>
      <c r="CL696" s="59"/>
      <c r="CM696" s="59"/>
      <c r="CN696" s="59"/>
      <c r="CO696" s="59">
        <v>4</v>
      </c>
      <c r="CP696" s="317"/>
      <c r="CQ696" s="59"/>
      <c r="CR696" s="59"/>
      <c r="CS696" s="59"/>
      <c r="CT696" s="59">
        <v>5</v>
      </c>
      <c r="CU696" s="221"/>
      <c r="CV696" s="59">
        <v>1</v>
      </c>
      <c r="CW696" s="59"/>
      <c r="CX696" s="59"/>
      <c r="CY696" s="59">
        <v>1</v>
      </c>
      <c r="CZ696" s="59"/>
      <c r="DA696" s="59">
        <v>2</v>
      </c>
      <c r="DB696" s="59"/>
      <c r="DC696" s="59"/>
      <c r="DD696" s="59"/>
      <c r="DE696" s="59"/>
      <c r="DF696" s="59"/>
      <c r="DG696" s="59"/>
      <c r="DH696" s="59"/>
      <c r="DI696" s="59"/>
      <c r="DJ696" s="59"/>
      <c r="DK696" s="59"/>
      <c r="DL696" s="221"/>
      <c r="DM696" s="59">
        <v>2</v>
      </c>
      <c r="DN696" s="59"/>
      <c r="DO696" s="59">
        <v>1</v>
      </c>
      <c r="DP696" s="59"/>
      <c r="DQ696" s="59"/>
      <c r="DR696" s="59"/>
      <c r="DS696" s="59">
        <v>2</v>
      </c>
      <c r="DT696" s="59"/>
      <c r="DU696" s="59"/>
      <c r="DV696" s="38">
        <f t="shared" si="338"/>
        <v>25</v>
      </c>
      <c r="DW696" s="14" t="str">
        <f t="shared" si="337"/>
        <v/>
      </c>
      <c r="DY696">
        <f t="shared" si="340"/>
        <v>25</v>
      </c>
    </row>
    <row r="697" spans="1:130" customFormat="1">
      <c r="A697" s="210">
        <v>40497</v>
      </c>
      <c r="B697" s="211"/>
      <c r="C697" s="61">
        <v>2</v>
      </c>
      <c r="D697" s="59">
        <v>23</v>
      </c>
      <c r="E697" s="59">
        <v>12</v>
      </c>
      <c r="F697" s="59">
        <v>0</v>
      </c>
      <c r="G697" s="59">
        <v>1</v>
      </c>
      <c r="H697" s="59">
        <v>0</v>
      </c>
      <c r="I697" s="59">
        <v>0</v>
      </c>
      <c r="J697" s="59">
        <v>11</v>
      </c>
      <c r="K697" s="59">
        <v>0</v>
      </c>
      <c r="L697" s="59">
        <v>1</v>
      </c>
      <c r="M697" s="59">
        <v>0</v>
      </c>
      <c r="N697" s="59">
        <v>0</v>
      </c>
      <c r="O697" s="59">
        <v>6</v>
      </c>
      <c r="P697" s="59">
        <v>0</v>
      </c>
      <c r="Q697" s="59">
        <v>0</v>
      </c>
      <c r="R697" s="59">
        <v>0</v>
      </c>
      <c r="S697" s="35">
        <f t="shared" si="339"/>
        <v>56</v>
      </c>
      <c r="T697" s="59"/>
      <c r="U697" s="59">
        <v>27</v>
      </c>
      <c r="V697" s="59">
        <v>24</v>
      </c>
      <c r="W697" s="59">
        <v>0</v>
      </c>
      <c r="X697" s="5">
        <v>0</v>
      </c>
      <c r="Y697" s="10"/>
      <c r="Z697" s="61">
        <v>553034</v>
      </c>
      <c r="AA697" s="101"/>
      <c r="AB697" s="101"/>
      <c r="AC697" s="61">
        <v>1613901</v>
      </c>
      <c r="AD697" s="59"/>
      <c r="AE697" s="35">
        <f t="shared" si="336"/>
        <v>1613901</v>
      </c>
      <c r="AF697" s="10"/>
      <c r="AG697" s="61">
        <v>116</v>
      </c>
      <c r="AH697" s="59">
        <v>84</v>
      </c>
      <c r="AI697" s="59">
        <v>224</v>
      </c>
      <c r="AJ697" s="62"/>
      <c r="AK697" s="10"/>
      <c r="AL697" s="8"/>
      <c r="AM697" s="10"/>
      <c r="AN697" s="35"/>
      <c r="AO697" s="279"/>
      <c r="AP697" s="279"/>
      <c r="AQ697" s="281"/>
      <c r="AR697" s="59">
        <v>148</v>
      </c>
      <c r="AS697" s="59">
        <v>101</v>
      </c>
      <c r="AT697" s="59">
        <v>168</v>
      </c>
      <c r="AU697" s="59">
        <v>19</v>
      </c>
      <c r="AV697" s="62">
        <v>337</v>
      </c>
      <c r="AW697" s="10"/>
      <c r="AX697" s="326">
        <v>40492</v>
      </c>
      <c r="AY697" s="5">
        <v>-5</v>
      </c>
      <c r="AZ697" s="10"/>
      <c r="BA697" s="61"/>
      <c r="BB697" s="59"/>
      <c r="BC697" s="59"/>
      <c r="BD697" s="59"/>
      <c r="BE697" s="59"/>
      <c r="BF697" s="59"/>
      <c r="BG697" s="59"/>
      <c r="BH697" s="351"/>
      <c r="BI697" s="102"/>
      <c r="BJ697" s="344"/>
      <c r="BK697" s="344"/>
      <c r="BL697" s="321"/>
      <c r="BM697" s="62"/>
      <c r="BN697" s="10"/>
      <c r="BO697" s="8"/>
      <c r="BP697" s="62"/>
      <c r="BQ697" s="10"/>
      <c r="BR697" s="29">
        <v>2011</v>
      </c>
      <c r="BS697" s="64">
        <v>2010</v>
      </c>
      <c r="BT697" s="14">
        <v>22</v>
      </c>
      <c r="BU697" s="10"/>
      <c r="BV697" s="8">
        <v>1</v>
      </c>
      <c r="BW697" s="59"/>
      <c r="BX697" s="59"/>
      <c r="BY697" s="59"/>
      <c r="BZ697" s="59"/>
      <c r="CA697" s="59"/>
      <c r="CB697" s="59"/>
      <c r="CC697" s="221"/>
      <c r="CD697" s="59">
        <v>13</v>
      </c>
      <c r="CE697" s="59">
        <v>1</v>
      </c>
      <c r="CF697" s="221"/>
      <c r="CG697" s="59"/>
      <c r="CH697" s="59"/>
      <c r="CI697" s="59"/>
      <c r="CJ697" s="59">
        <v>1</v>
      </c>
      <c r="CK697" s="59"/>
      <c r="CL697" s="59"/>
      <c r="CM697" s="59">
        <v>3</v>
      </c>
      <c r="CN697" s="59">
        <v>4</v>
      </c>
      <c r="CO697" s="59">
        <v>5</v>
      </c>
      <c r="CP697" s="317"/>
      <c r="CQ697" s="59"/>
      <c r="CR697" s="59"/>
      <c r="CS697" s="59"/>
      <c r="CT697" s="59">
        <v>6</v>
      </c>
      <c r="CU697" s="221"/>
      <c r="CV697" s="59">
        <v>3</v>
      </c>
      <c r="CW697" s="59"/>
      <c r="CX697" s="59"/>
      <c r="CY697" s="59"/>
      <c r="CZ697" s="59"/>
      <c r="DA697" s="59">
        <v>2</v>
      </c>
      <c r="DB697" s="59">
        <v>8</v>
      </c>
      <c r="DC697" s="59"/>
      <c r="DD697" s="59"/>
      <c r="DE697" s="59"/>
      <c r="DF697" s="59"/>
      <c r="DG697" s="59">
        <v>1</v>
      </c>
      <c r="DH697" s="59">
        <v>3</v>
      </c>
      <c r="DI697" s="59"/>
      <c r="DJ697" s="59">
        <v>1</v>
      </c>
      <c r="DK697" s="59"/>
      <c r="DL697" s="221"/>
      <c r="DM697" s="59">
        <v>2</v>
      </c>
      <c r="DN697" s="59"/>
      <c r="DO697" s="59"/>
      <c r="DP697" s="59"/>
      <c r="DQ697" s="59"/>
      <c r="DR697" s="59"/>
      <c r="DS697" s="59">
        <v>2</v>
      </c>
      <c r="DT697" s="59"/>
      <c r="DU697" s="59"/>
      <c r="DV697" s="38">
        <f t="shared" si="338"/>
        <v>56</v>
      </c>
      <c r="DW697" s="14" t="str">
        <f t="shared" si="337"/>
        <v/>
      </c>
      <c r="DY697">
        <f t="shared" si="340"/>
        <v>56</v>
      </c>
    </row>
    <row r="698" spans="1:130" customFormat="1">
      <c r="A698" s="210">
        <v>40513</v>
      </c>
      <c r="B698" s="211"/>
      <c r="C698" s="61">
        <v>1</v>
      </c>
      <c r="D698" s="59">
        <v>17</v>
      </c>
      <c r="E698" s="59">
        <v>1</v>
      </c>
      <c r="F698" s="59">
        <v>0</v>
      </c>
      <c r="G698" s="59">
        <v>0</v>
      </c>
      <c r="H698" s="59">
        <v>2</v>
      </c>
      <c r="I698" s="59">
        <v>0</v>
      </c>
      <c r="J698" s="59">
        <v>9</v>
      </c>
      <c r="K698" s="59">
        <v>0</v>
      </c>
      <c r="L698" s="59">
        <v>0</v>
      </c>
      <c r="M698" s="59">
        <v>0</v>
      </c>
      <c r="N698" s="59">
        <v>0</v>
      </c>
      <c r="O698" s="59">
        <v>1</v>
      </c>
      <c r="P698" s="59">
        <v>0</v>
      </c>
      <c r="Q698" s="59">
        <v>0</v>
      </c>
      <c r="R698" s="59">
        <v>0</v>
      </c>
      <c r="S698" s="35">
        <f t="shared" si="339"/>
        <v>31</v>
      </c>
      <c r="T698" s="59"/>
      <c r="U698" s="59">
        <v>5</v>
      </c>
      <c r="V698" s="59">
        <v>3</v>
      </c>
      <c r="W698" s="59">
        <v>0</v>
      </c>
      <c r="X698" s="5">
        <v>0</v>
      </c>
      <c r="Y698" s="10"/>
      <c r="Z698" s="61">
        <v>529650</v>
      </c>
      <c r="AA698" s="101"/>
      <c r="AB698" s="101"/>
      <c r="AC698" s="61">
        <v>449156</v>
      </c>
      <c r="AD698" s="59"/>
      <c r="AE698" s="35">
        <f t="shared" si="336"/>
        <v>449156</v>
      </c>
      <c r="AF698" s="10"/>
      <c r="AG698" s="61">
        <v>80</v>
      </c>
      <c r="AH698" s="59">
        <v>87</v>
      </c>
      <c r="AI698" s="59">
        <v>180</v>
      </c>
      <c r="AJ698" s="62"/>
      <c r="AK698" s="10"/>
      <c r="AL698" s="8"/>
      <c r="AM698" s="10"/>
      <c r="AN698" s="35"/>
      <c r="AO698" s="279"/>
      <c r="AP698" s="279"/>
      <c r="AQ698" s="281"/>
      <c r="AR698" s="59">
        <v>149</v>
      </c>
      <c r="AS698" s="59">
        <v>103</v>
      </c>
      <c r="AT698" s="59">
        <v>169</v>
      </c>
      <c r="AU698" s="59">
        <v>19</v>
      </c>
      <c r="AV698" s="62">
        <v>340</v>
      </c>
      <c r="AW698" s="10"/>
      <c r="AX698" s="326">
        <v>40511</v>
      </c>
      <c r="AY698" s="5">
        <v>-2</v>
      </c>
      <c r="AZ698" s="10"/>
      <c r="BA698" s="61">
        <v>1978</v>
      </c>
      <c r="BB698" s="59">
        <v>67368611</v>
      </c>
      <c r="BC698" s="59"/>
      <c r="BD698" s="59"/>
      <c r="BE698" s="59">
        <v>51</v>
      </c>
      <c r="BF698" s="59">
        <v>4</v>
      </c>
      <c r="BG698" s="59">
        <v>3</v>
      </c>
      <c r="BH698" s="30">
        <f>SUM(BE698:BG698)</f>
        <v>58</v>
      </c>
      <c r="BI698" s="59">
        <v>2373640</v>
      </c>
      <c r="BJ698" s="342">
        <v>40522</v>
      </c>
      <c r="BK698" s="342">
        <v>40521</v>
      </c>
      <c r="BL698" s="320">
        <f>BK698-BJ698</f>
        <v>-1</v>
      </c>
      <c r="BM698" s="62"/>
      <c r="BN698" s="10"/>
      <c r="BO698" s="8"/>
      <c r="BP698" s="62">
        <v>166</v>
      </c>
      <c r="BQ698" s="10"/>
      <c r="BR698" s="29">
        <v>2011</v>
      </c>
      <c r="BS698" s="64">
        <v>2010</v>
      </c>
      <c r="BT698" s="14">
        <v>23</v>
      </c>
      <c r="BU698" s="10"/>
      <c r="BV698" s="8"/>
      <c r="BW698" s="59"/>
      <c r="BX698" s="59">
        <v>2</v>
      </c>
      <c r="BY698" s="59"/>
      <c r="BZ698" s="59"/>
      <c r="CA698" s="59"/>
      <c r="CB698" s="59"/>
      <c r="CC698" s="221"/>
      <c r="CD698" s="59">
        <v>8</v>
      </c>
      <c r="CE698" s="59"/>
      <c r="CF698" s="221"/>
      <c r="CG698" s="59"/>
      <c r="CH698" s="59"/>
      <c r="CI698" s="59">
        <v>6</v>
      </c>
      <c r="CJ698" s="59">
        <v>2</v>
      </c>
      <c r="CK698" s="59"/>
      <c r="CL698" s="59"/>
      <c r="CM698" s="59"/>
      <c r="CN698" s="59"/>
      <c r="CO698" s="59">
        <v>4</v>
      </c>
      <c r="CP698" s="317"/>
      <c r="CQ698" s="59"/>
      <c r="CR698" s="59"/>
      <c r="CS698" s="59"/>
      <c r="CT698" s="59"/>
      <c r="CU698" s="221"/>
      <c r="CV698" s="59">
        <v>1</v>
      </c>
      <c r="CW698" s="59"/>
      <c r="CX698" s="59"/>
      <c r="CY698" s="59">
        <v>1</v>
      </c>
      <c r="CZ698" s="59"/>
      <c r="DA698" s="59">
        <v>2</v>
      </c>
      <c r="DB698" s="59"/>
      <c r="DC698" s="59"/>
      <c r="DD698" s="59"/>
      <c r="DE698" s="59"/>
      <c r="DF698" s="59"/>
      <c r="DG698" s="59">
        <v>3</v>
      </c>
      <c r="DH698" s="59"/>
      <c r="DI698" s="59"/>
      <c r="DJ698" s="59"/>
      <c r="DK698" s="59"/>
      <c r="DL698" s="221"/>
      <c r="DM698" s="59"/>
      <c r="DN698" s="59"/>
      <c r="DO698" s="59">
        <v>1</v>
      </c>
      <c r="DP698" s="59"/>
      <c r="DQ698" s="59"/>
      <c r="DR698" s="59"/>
      <c r="DS698" s="59">
        <v>1</v>
      </c>
      <c r="DT698" s="59"/>
      <c r="DU698" s="59"/>
      <c r="DV698" s="38">
        <f t="shared" si="338"/>
        <v>31</v>
      </c>
      <c r="DW698" s="14" t="str">
        <f t="shared" si="337"/>
        <v/>
      </c>
      <c r="DY698">
        <f t="shared" si="340"/>
        <v>31</v>
      </c>
    </row>
    <row r="699" spans="1:130" customFormat="1">
      <c r="A699" s="210">
        <v>40527</v>
      </c>
      <c r="B699" s="211"/>
      <c r="C699" s="61">
        <v>1</v>
      </c>
      <c r="D699" s="59">
        <v>21</v>
      </c>
      <c r="E699" s="59">
        <v>0</v>
      </c>
      <c r="F699" s="59">
        <v>1</v>
      </c>
      <c r="G699" s="59">
        <v>0</v>
      </c>
      <c r="H699" s="59">
        <v>0</v>
      </c>
      <c r="I699" s="59">
        <v>0</v>
      </c>
      <c r="J699" s="59">
        <v>11</v>
      </c>
      <c r="K699" s="59">
        <v>0</v>
      </c>
      <c r="L699" s="59">
        <v>0</v>
      </c>
      <c r="M699" s="59">
        <v>0</v>
      </c>
      <c r="N699" s="59">
        <v>0</v>
      </c>
      <c r="O699" s="59">
        <v>2</v>
      </c>
      <c r="P699" s="59">
        <v>0</v>
      </c>
      <c r="Q699" s="59">
        <v>0</v>
      </c>
      <c r="R699" s="59">
        <v>0</v>
      </c>
      <c r="S699" s="35">
        <f t="shared" si="339"/>
        <v>36</v>
      </c>
      <c r="T699" s="59"/>
      <c r="U699" s="59">
        <v>9</v>
      </c>
      <c r="V699" s="59">
        <v>7</v>
      </c>
      <c r="W699" s="59">
        <v>0</v>
      </c>
      <c r="X699" s="5">
        <v>1</v>
      </c>
      <c r="Y699" s="59"/>
      <c r="Z699" s="61">
        <v>521026</v>
      </c>
      <c r="AA699" s="101"/>
      <c r="AB699" s="101"/>
      <c r="AC699" s="61">
        <v>502396</v>
      </c>
      <c r="AD699" s="59"/>
      <c r="AE699" s="35">
        <f t="shared" si="336"/>
        <v>502396</v>
      </c>
      <c r="AF699" s="10"/>
      <c r="AG699" s="61">
        <v>70</v>
      </c>
      <c r="AH699" s="59">
        <v>90</v>
      </c>
      <c r="AI699" s="59">
        <v>174</v>
      </c>
      <c r="AJ699" s="62"/>
      <c r="AK699" s="10"/>
      <c r="AL699" s="8"/>
      <c r="AM699" s="10"/>
      <c r="AN699" s="35"/>
      <c r="AO699" s="279"/>
      <c r="AP699" s="279"/>
      <c r="AQ699" s="281"/>
      <c r="AR699" s="59">
        <v>149</v>
      </c>
      <c r="AS699" s="59">
        <v>103</v>
      </c>
      <c r="AT699" s="59">
        <v>169</v>
      </c>
      <c r="AU699" s="59">
        <v>19</v>
      </c>
      <c r="AV699" s="62">
        <v>340</v>
      </c>
      <c r="AW699" s="10"/>
      <c r="AX699" s="326">
        <v>40525</v>
      </c>
      <c r="AY699" s="5">
        <v>-2</v>
      </c>
      <c r="AZ699" s="10"/>
      <c r="BA699" s="61"/>
      <c r="BB699" s="59"/>
      <c r="BC699" s="59"/>
      <c r="BD699" s="59"/>
      <c r="BE699" s="59"/>
      <c r="BF699" s="59"/>
      <c r="BG699" s="59"/>
      <c r="BH699" s="351"/>
      <c r="BI699" s="59"/>
      <c r="BJ699" s="342"/>
      <c r="BK699" s="342"/>
      <c r="BL699" s="320"/>
      <c r="BM699" s="62"/>
      <c r="BN699" s="10"/>
      <c r="BO699" s="8"/>
      <c r="BP699" s="62"/>
      <c r="BQ699" s="10"/>
      <c r="BR699" s="29">
        <v>2011</v>
      </c>
      <c r="BS699" s="64">
        <v>2010</v>
      </c>
      <c r="BT699" s="14">
        <v>24</v>
      </c>
      <c r="BU699" s="10"/>
      <c r="BV699" s="8">
        <v>7</v>
      </c>
      <c r="BW699" s="59"/>
      <c r="BX699" s="59"/>
      <c r="BY699" s="59"/>
      <c r="BZ699" s="59"/>
      <c r="CA699" s="59"/>
      <c r="CB699" s="59"/>
      <c r="CC699" s="221"/>
      <c r="CD699" s="59"/>
      <c r="CE699" s="59"/>
      <c r="CF699" s="221"/>
      <c r="CG699" s="59">
        <v>5</v>
      </c>
      <c r="CH699" s="59"/>
      <c r="CI699" s="59"/>
      <c r="CJ699" s="59">
        <v>10</v>
      </c>
      <c r="CK699" s="59"/>
      <c r="CL699" s="59"/>
      <c r="CM699" s="59"/>
      <c r="CN699" s="59">
        <v>2</v>
      </c>
      <c r="CO699" s="59">
        <v>1</v>
      </c>
      <c r="CP699" s="317"/>
      <c r="CQ699" s="59"/>
      <c r="CR699" s="59"/>
      <c r="CS699" s="59"/>
      <c r="CT699" s="59">
        <v>1</v>
      </c>
      <c r="CU699" s="221"/>
      <c r="CV699" s="59">
        <v>3</v>
      </c>
      <c r="CW699" s="59"/>
      <c r="CX699" s="59"/>
      <c r="CY699" s="59">
        <v>1</v>
      </c>
      <c r="CZ699" s="59">
        <v>1</v>
      </c>
      <c r="DA699" s="59"/>
      <c r="DB699" s="59"/>
      <c r="DC699" s="59"/>
      <c r="DD699" s="59"/>
      <c r="DE699" s="59"/>
      <c r="DF699" s="59"/>
      <c r="DG699" s="59">
        <v>2</v>
      </c>
      <c r="DH699" s="59"/>
      <c r="DI699" s="59"/>
      <c r="DJ699" s="59">
        <v>1</v>
      </c>
      <c r="DK699" s="59"/>
      <c r="DL699" s="221"/>
      <c r="DM699" s="59">
        <v>1</v>
      </c>
      <c r="DN699" s="59"/>
      <c r="DO699" s="59"/>
      <c r="DP699" s="59"/>
      <c r="DQ699" s="59"/>
      <c r="DR699" s="59"/>
      <c r="DS699" s="59">
        <v>1</v>
      </c>
      <c r="DT699" s="59"/>
      <c r="DU699" s="59"/>
      <c r="DV699" s="38">
        <f t="shared" si="338"/>
        <v>36</v>
      </c>
      <c r="DW699" s="14" t="str">
        <f t="shared" si="337"/>
        <v/>
      </c>
      <c r="DY699">
        <f t="shared" si="340"/>
        <v>36</v>
      </c>
      <c r="DZ699" t="str">
        <f t="shared" ref="DZ699:DZ711" si="341">IF(DV699-DY699=0,"",DV699-DY699)</f>
        <v/>
      </c>
    </row>
    <row r="700" spans="1:130" customFormat="1">
      <c r="A700" s="210">
        <v>40544</v>
      </c>
      <c r="B700" s="211"/>
      <c r="C700" s="8">
        <v>2</v>
      </c>
      <c r="D700" s="59">
        <v>15</v>
      </c>
      <c r="E700" s="59">
        <v>0</v>
      </c>
      <c r="F700" s="59">
        <v>0</v>
      </c>
      <c r="G700" s="59">
        <v>0</v>
      </c>
      <c r="H700" s="59">
        <v>0</v>
      </c>
      <c r="I700" s="59">
        <v>0</v>
      </c>
      <c r="J700" s="59">
        <v>17</v>
      </c>
      <c r="K700" s="59">
        <v>0</v>
      </c>
      <c r="L700" s="59">
        <v>0</v>
      </c>
      <c r="M700" s="59">
        <v>0</v>
      </c>
      <c r="N700" s="59">
        <v>0</v>
      </c>
      <c r="O700" s="59">
        <v>3</v>
      </c>
      <c r="P700" s="59">
        <v>1</v>
      </c>
      <c r="Q700" s="59">
        <v>0</v>
      </c>
      <c r="R700" s="59">
        <v>0</v>
      </c>
      <c r="S700" s="35">
        <f t="shared" si="339"/>
        <v>38</v>
      </c>
      <c r="T700" s="59"/>
      <c r="U700" s="59">
        <v>10</v>
      </c>
      <c r="V700" s="59">
        <v>10</v>
      </c>
      <c r="W700" s="59">
        <v>0</v>
      </c>
      <c r="X700" s="62">
        <v>1</v>
      </c>
      <c r="Y700" s="10"/>
      <c r="Z700" s="61">
        <v>542159</v>
      </c>
      <c r="AA700" s="101"/>
      <c r="AB700" s="101"/>
      <c r="AC700" s="61">
        <v>471428</v>
      </c>
      <c r="AD700" s="59"/>
      <c r="AE700" s="35">
        <f t="shared" si="336"/>
        <v>471428</v>
      </c>
      <c r="AF700" s="10"/>
      <c r="AG700" s="61">
        <v>76</v>
      </c>
      <c r="AH700" s="59">
        <v>96</v>
      </c>
      <c r="AI700" s="59">
        <v>182</v>
      </c>
      <c r="AJ700" s="62"/>
      <c r="AK700" s="10"/>
      <c r="AL700" s="61">
        <v>0</v>
      </c>
      <c r="AM700" s="59">
        <v>38</v>
      </c>
      <c r="AN700" s="35">
        <f>SUM(AL700:AM700)</f>
        <v>38</v>
      </c>
      <c r="AO700" s="279"/>
      <c r="AP700" s="279"/>
      <c r="AQ700" s="281"/>
      <c r="AR700" s="59">
        <v>147</v>
      </c>
      <c r="AS700" s="59"/>
      <c r="AT700" s="59"/>
      <c r="AU700" s="59"/>
      <c r="AV700" s="62"/>
      <c r="AW700" s="10"/>
      <c r="AX700" s="326">
        <v>40540</v>
      </c>
      <c r="AY700" s="5">
        <v>-4</v>
      </c>
      <c r="AZ700" s="10"/>
      <c r="BA700" s="61">
        <v>1969</v>
      </c>
      <c r="BB700" s="59">
        <v>67203706</v>
      </c>
      <c r="BC700" s="59"/>
      <c r="BD700" s="59"/>
      <c r="BE700" s="59">
        <v>49</v>
      </c>
      <c r="BF700" s="59">
        <v>3</v>
      </c>
      <c r="BG700" s="59">
        <v>12</v>
      </c>
      <c r="BH700" s="30">
        <f>SUM(BE700:BG700)</f>
        <v>64</v>
      </c>
      <c r="BI700" s="59">
        <v>3059795</v>
      </c>
      <c r="BJ700" s="342">
        <v>40553</v>
      </c>
      <c r="BK700" s="342">
        <v>40553</v>
      </c>
      <c r="BL700" s="320">
        <f>BK700-BJ700</f>
        <v>0</v>
      </c>
      <c r="BM700" s="62"/>
      <c r="BN700" s="10"/>
      <c r="BO700" s="8"/>
      <c r="BP700" s="62">
        <v>166</v>
      </c>
      <c r="BQ700" s="10"/>
      <c r="BR700" s="29">
        <v>2011</v>
      </c>
      <c r="BS700" s="64">
        <v>2011</v>
      </c>
      <c r="BT700" s="14">
        <v>1</v>
      </c>
      <c r="BU700" s="10"/>
      <c r="BV700" s="8"/>
      <c r="BW700" s="59"/>
      <c r="BX700" s="59"/>
      <c r="BY700" s="59"/>
      <c r="BZ700" s="59"/>
      <c r="CA700" s="59"/>
      <c r="CB700" s="59"/>
      <c r="CC700" s="221"/>
      <c r="CD700" s="59">
        <v>6</v>
      </c>
      <c r="CE700" s="59"/>
      <c r="CF700" s="221"/>
      <c r="CG700" s="59"/>
      <c r="CH700" s="59"/>
      <c r="CI700" s="59"/>
      <c r="CJ700" s="59">
        <v>2</v>
      </c>
      <c r="CK700" s="59"/>
      <c r="CL700" s="59"/>
      <c r="CM700" s="59"/>
      <c r="CN700" s="59"/>
      <c r="CO700" s="59">
        <v>14</v>
      </c>
      <c r="CP700" s="317"/>
      <c r="CQ700" s="59"/>
      <c r="CR700" s="59"/>
      <c r="CS700" s="59"/>
      <c r="CT700" s="59">
        <v>1</v>
      </c>
      <c r="CU700" s="221"/>
      <c r="CV700" s="59">
        <v>2</v>
      </c>
      <c r="CW700" s="59"/>
      <c r="CX700" s="59"/>
      <c r="CY700" s="59">
        <v>2</v>
      </c>
      <c r="CZ700" s="59"/>
      <c r="DA700" s="59"/>
      <c r="DB700" s="59">
        <v>6</v>
      </c>
      <c r="DC700" s="59"/>
      <c r="DD700" s="59"/>
      <c r="DE700" s="59"/>
      <c r="DF700" s="59"/>
      <c r="DG700" s="59">
        <v>3</v>
      </c>
      <c r="DH700" s="59"/>
      <c r="DI700" s="59"/>
      <c r="DJ700" s="59">
        <v>1</v>
      </c>
      <c r="DK700" s="59"/>
      <c r="DL700" s="221"/>
      <c r="DM700" s="59"/>
      <c r="DN700" s="59"/>
      <c r="DO700" s="59">
        <v>1</v>
      </c>
      <c r="DP700" s="59"/>
      <c r="DQ700" s="59"/>
      <c r="DR700" s="59"/>
      <c r="DS700" s="59"/>
      <c r="DT700" s="59"/>
      <c r="DU700" s="59"/>
      <c r="DV700" s="38">
        <f t="shared" si="338"/>
        <v>38</v>
      </c>
      <c r="DW700" s="14" t="str">
        <f t="shared" si="337"/>
        <v/>
      </c>
      <c r="DY700">
        <f t="shared" si="340"/>
        <v>38</v>
      </c>
      <c r="DZ700" t="str">
        <f t="shared" si="341"/>
        <v/>
      </c>
    </row>
    <row r="701" spans="1:130" customFormat="1">
      <c r="A701" s="210">
        <v>40558</v>
      </c>
      <c r="B701" s="211"/>
      <c r="C701" s="8">
        <v>2</v>
      </c>
      <c r="D701" s="59">
        <v>16</v>
      </c>
      <c r="E701" s="59">
        <v>0</v>
      </c>
      <c r="F701" s="59">
        <v>0</v>
      </c>
      <c r="G701" s="59">
        <v>0</v>
      </c>
      <c r="H701" s="59">
        <v>0</v>
      </c>
      <c r="I701" s="59">
        <v>1</v>
      </c>
      <c r="J701" s="59">
        <v>2</v>
      </c>
      <c r="K701" s="59">
        <v>0</v>
      </c>
      <c r="L701" s="59">
        <v>1</v>
      </c>
      <c r="M701" s="59">
        <v>0</v>
      </c>
      <c r="N701" s="59">
        <v>0</v>
      </c>
      <c r="O701" s="59">
        <v>1</v>
      </c>
      <c r="P701" s="59">
        <v>1</v>
      </c>
      <c r="Q701" s="59">
        <v>0</v>
      </c>
      <c r="R701" s="59">
        <v>0</v>
      </c>
      <c r="S701" s="35">
        <f t="shared" si="339"/>
        <v>24</v>
      </c>
      <c r="T701" s="59"/>
      <c r="U701" s="59">
        <v>4</v>
      </c>
      <c r="V701" s="59">
        <v>4</v>
      </c>
      <c r="W701" s="59">
        <v>0</v>
      </c>
      <c r="X701" s="62">
        <v>0</v>
      </c>
      <c r="Y701" s="10"/>
      <c r="Z701" s="61">
        <v>495254</v>
      </c>
      <c r="AA701" s="101"/>
      <c r="AB701" s="101"/>
      <c r="AC701" s="61">
        <v>791113</v>
      </c>
      <c r="AD701" s="59"/>
      <c r="AE701" s="35">
        <f t="shared" si="336"/>
        <v>791113</v>
      </c>
      <c r="AF701" s="10"/>
      <c r="AG701" s="61">
        <v>46</v>
      </c>
      <c r="AH701" s="59">
        <v>96</v>
      </c>
      <c r="AI701" s="59">
        <v>156</v>
      </c>
      <c r="AJ701" s="62"/>
      <c r="AK701" s="10"/>
      <c r="AL701" s="8"/>
      <c r="AM701" s="10"/>
      <c r="AN701" s="35"/>
      <c r="AO701" s="279"/>
      <c r="AP701" s="279"/>
      <c r="AQ701" s="281"/>
      <c r="AR701" s="59">
        <v>148</v>
      </c>
      <c r="AS701" s="59"/>
      <c r="AT701" s="59"/>
      <c r="AU701" s="59"/>
      <c r="AV701" s="62"/>
      <c r="AW701" s="10"/>
      <c r="AX701" s="326">
        <v>40556</v>
      </c>
      <c r="AY701" s="5">
        <v>-2</v>
      </c>
      <c r="AZ701" s="10"/>
      <c r="BA701" s="61"/>
      <c r="BB701" s="59"/>
      <c r="BC701" s="59"/>
      <c r="BD701" s="59"/>
      <c r="BE701" s="59"/>
      <c r="BF701" s="59"/>
      <c r="BG701" s="59"/>
      <c r="BH701" s="351"/>
      <c r="BI701" s="59"/>
      <c r="BJ701" s="342"/>
      <c r="BK701" s="342"/>
      <c r="BL701" s="320"/>
      <c r="BM701" s="62"/>
      <c r="BN701" s="10"/>
      <c r="BO701" s="8"/>
      <c r="BP701" s="62"/>
      <c r="BQ701" s="10"/>
      <c r="BR701" s="29">
        <v>2011</v>
      </c>
      <c r="BS701" s="64">
        <v>2011</v>
      </c>
      <c r="BT701" s="14">
        <v>2</v>
      </c>
      <c r="BU701" s="10"/>
      <c r="BV701" s="8"/>
      <c r="BW701" s="59"/>
      <c r="BX701" s="59">
        <v>3</v>
      </c>
      <c r="BY701" s="59"/>
      <c r="BZ701" s="59"/>
      <c r="CA701" s="59"/>
      <c r="CB701" s="59"/>
      <c r="CC701" s="221"/>
      <c r="CD701" s="59">
        <v>3</v>
      </c>
      <c r="CE701" s="59">
        <v>1</v>
      </c>
      <c r="CF701" s="221"/>
      <c r="CG701" s="59"/>
      <c r="CH701" s="59"/>
      <c r="CI701" s="59">
        <v>5</v>
      </c>
      <c r="CJ701" s="59"/>
      <c r="CK701" s="59"/>
      <c r="CL701" s="59"/>
      <c r="CM701" s="59"/>
      <c r="CN701" s="59">
        <v>1</v>
      </c>
      <c r="CO701" s="59">
        <v>5</v>
      </c>
      <c r="CP701" s="317"/>
      <c r="CQ701" s="59"/>
      <c r="CR701" s="59"/>
      <c r="CS701" s="59"/>
      <c r="CT701" s="59"/>
      <c r="CU701" s="221"/>
      <c r="CV701" s="59">
        <v>1</v>
      </c>
      <c r="CW701" s="59"/>
      <c r="CX701" s="59"/>
      <c r="CY701" s="59"/>
      <c r="CZ701" s="59"/>
      <c r="DA701" s="59"/>
      <c r="DB701" s="59">
        <v>1</v>
      </c>
      <c r="DC701" s="59"/>
      <c r="DD701" s="59"/>
      <c r="DE701" s="59"/>
      <c r="DF701" s="59"/>
      <c r="DG701" s="59">
        <v>1</v>
      </c>
      <c r="DH701" s="59"/>
      <c r="DI701" s="59"/>
      <c r="DJ701" s="59">
        <v>2</v>
      </c>
      <c r="DK701" s="59"/>
      <c r="DL701" s="221"/>
      <c r="DM701" s="59">
        <v>1</v>
      </c>
      <c r="DN701" s="59"/>
      <c r="DO701" s="59"/>
      <c r="DP701" s="59"/>
      <c r="DQ701" s="59"/>
      <c r="DR701" s="59"/>
      <c r="DS701" s="59"/>
      <c r="DT701" s="59"/>
      <c r="DU701" s="59"/>
      <c r="DV701" s="38">
        <f t="shared" si="338"/>
        <v>24</v>
      </c>
      <c r="DW701" s="14" t="str">
        <f t="shared" si="337"/>
        <v/>
      </c>
      <c r="DY701">
        <f t="shared" si="340"/>
        <v>24</v>
      </c>
      <c r="DZ701" t="str">
        <f t="shared" si="341"/>
        <v/>
      </c>
    </row>
    <row r="702" spans="1:130" customFormat="1">
      <c r="A702" s="210">
        <v>40575</v>
      </c>
      <c r="B702" s="211"/>
      <c r="C702" s="61">
        <v>3</v>
      </c>
      <c r="D702" s="59">
        <v>11</v>
      </c>
      <c r="E702" s="59">
        <v>1</v>
      </c>
      <c r="F702" s="59">
        <v>0</v>
      </c>
      <c r="G702" s="59">
        <v>0</v>
      </c>
      <c r="H702" s="59">
        <v>0</v>
      </c>
      <c r="I702" s="59">
        <v>0</v>
      </c>
      <c r="J702" s="59">
        <v>7</v>
      </c>
      <c r="K702" s="59">
        <v>0</v>
      </c>
      <c r="L702" s="59">
        <v>0</v>
      </c>
      <c r="M702" s="59">
        <v>0</v>
      </c>
      <c r="N702" s="59">
        <v>0</v>
      </c>
      <c r="O702" s="59">
        <v>3</v>
      </c>
      <c r="P702" s="59">
        <v>0</v>
      </c>
      <c r="Q702" s="59">
        <v>0</v>
      </c>
      <c r="R702" s="59">
        <v>0</v>
      </c>
      <c r="S702" s="35">
        <f t="shared" si="339"/>
        <v>25</v>
      </c>
      <c r="T702" s="59"/>
      <c r="U702" s="59">
        <v>11</v>
      </c>
      <c r="V702" s="59">
        <v>7</v>
      </c>
      <c r="W702" s="59">
        <v>0</v>
      </c>
      <c r="X702" s="62">
        <v>0</v>
      </c>
      <c r="Y702" s="10"/>
      <c r="Z702" s="61">
        <v>133575</v>
      </c>
      <c r="AA702" s="101"/>
      <c r="AB702" s="101"/>
      <c r="AC702" s="61">
        <v>444039</v>
      </c>
      <c r="AD702" s="59"/>
      <c r="AE702" s="35">
        <f t="shared" si="336"/>
        <v>444039</v>
      </c>
      <c r="AF702" s="10"/>
      <c r="AG702" s="61">
        <v>55</v>
      </c>
      <c r="AH702" s="59">
        <v>5</v>
      </c>
      <c r="AI702" s="59">
        <v>72</v>
      </c>
      <c r="AJ702" s="62"/>
      <c r="AK702" s="10"/>
      <c r="AL702" s="8"/>
      <c r="AM702" s="10"/>
      <c r="AN702" s="35"/>
      <c r="AO702" s="279"/>
      <c r="AP702" s="279"/>
      <c r="AQ702" s="281"/>
      <c r="AR702" s="59">
        <v>148</v>
      </c>
      <c r="AS702" s="59"/>
      <c r="AT702" s="59"/>
      <c r="AU702" s="59"/>
      <c r="AV702" s="62"/>
      <c r="AW702" s="10"/>
      <c r="AX702" s="326">
        <v>40570</v>
      </c>
      <c r="AY702" s="5">
        <v>-5</v>
      </c>
      <c r="AZ702" s="10"/>
      <c r="BA702" s="61">
        <v>1970</v>
      </c>
      <c r="BB702" s="59">
        <v>67300152</v>
      </c>
      <c r="BC702" s="59"/>
      <c r="BD702" s="59"/>
      <c r="BE702" s="59">
        <v>71</v>
      </c>
      <c r="BF702" s="59">
        <v>4</v>
      </c>
      <c r="BG702" s="59">
        <v>2</v>
      </c>
      <c r="BH702" s="30">
        <f>SUM(BE702:BG702)</f>
        <v>77</v>
      </c>
      <c r="BI702" s="59">
        <v>3404937</v>
      </c>
      <c r="BJ702" s="342">
        <v>40584</v>
      </c>
      <c r="BK702" s="342">
        <v>40584</v>
      </c>
      <c r="BL702" s="320">
        <f>BK702-BJ702</f>
        <v>0</v>
      </c>
      <c r="BM702" s="62"/>
      <c r="BN702" s="10"/>
      <c r="BO702" s="8"/>
      <c r="BP702" s="62">
        <v>166</v>
      </c>
      <c r="BQ702" s="10"/>
      <c r="BR702" s="29">
        <v>2011</v>
      </c>
      <c r="BS702" s="64">
        <v>2011</v>
      </c>
      <c r="BT702" s="14">
        <v>3</v>
      </c>
      <c r="BU702" s="10"/>
      <c r="BV702" s="8">
        <v>1</v>
      </c>
      <c r="BW702" s="59">
        <v>4</v>
      </c>
      <c r="BX702" s="59"/>
      <c r="BY702" s="59"/>
      <c r="BZ702" s="59"/>
      <c r="CA702" s="59"/>
      <c r="CB702" s="59"/>
      <c r="CC702" s="221"/>
      <c r="CD702" s="59">
        <v>1</v>
      </c>
      <c r="CE702" s="59"/>
      <c r="CF702" s="221"/>
      <c r="CG702" s="59"/>
      <c r="CH702" s="59"/>
      <c r="CI702" s="59">
        <v>1</v>
      </c>
      <c r="CJ702" s="59">
        <v>4</v>
      </c>
      <c r="CK702" s="59"/>
      <c r="CL702" s="59"/>
      <c r="CM702" s="59"/>
      <c r="CN702" s="59"/>
      <c r="CO702" s="59">
        <v>3</v>
      </c>
      <c r="CP702" s="317"/>
      <c r="CQ702" s="59"/>
      <c r="CR702" s="59"/>
      <c r="CS702" s="59"/>
      <c r="CT702" s="59">
        <v>1</v>
      </c>
      <c r="CU702" s="221"/>
      <c r="CV702" s="59">
        <v>1</v>
      </c>
      <c r="CW702" s="59"/>
      <c r="CX702" s="59"/>
      <c r="CY702" s="59"/>
      <c r="CZ702" s="59"/>
      <c r="DA702" s="59"/>
      <c r="DB702" s="59">
        <v>7</v>
      </c>
      <c r="DC702" s="59"/>
      <c r="DD702" s="59"/>
      <c r="DE702" s="59"/>
      <c r="DF702" s="59"/>
      <c r="DG702" s="59"/>
      <c r="DH702" s="59"/>
      <c r="DI702" s="59"/>
      <c r="DJ702" s="59"/>
      <c r="DK702" s="59"/>
      <c r="DL702" s="221"/>
      <c r="DM702" s="59"/>
      <c r="DN702" s="59"/>
      <c r="DO702" s="59">
        <v>1</v>
      </c>
      <c r="DP702" s="59"/>
      <c r="DQ702" s="59"/>
      <c r="DR702" s="59"/>
      <c r="DS702" s="59">
        <v>1</v>
      </c>
      <c r="DT702" s="59"/>
      <c r="DU702" s="59"/>
      <c r="DV702" s="38">
        <f t="shared" si="338"/>
        <v>25</v>
      </c>
      <c r="DW702" s="14" t="str">
        <f t="shared" si="337"/>
        <v/>
      </c>
      <c r="DY702">
        <f t="shared" si="340"/>
        <v>25</v>
      </c>
      <c r="DZ702" t="str">
        <f t="shared" si="341"/>
        <v/>
      </c>
    </row>
    <row r="703" spans="1:130" customFormat="1">
      <c r="A703" s="210">
        <v>40589</v>
      </c>
      <c r="B703" s="211"/>
      <c r="C703" s="61">
        <v>2</v>
      </c>
      <c r="D703" s="59">
        <v>8</v>
      </c>
      <c r="E703" s="59">
        <v>0</v>
      </c>
      <c r="F703" s="59">
        <v>0</v>
      </c>
      <c r="G703" s="59">
        <v>0</v>
      </c>
      <c r="H703" s="59">
        <v>0</v>
      </c>
      <c r="I703" s="59">
        <v>0</v>
      </c>
      <c r="J703" s="59">
        <v>28</v>
      </c>
      <c r="K703" s="59">
        <v>0</v>
      </c>
      <c r="L703" s="59">
        <v>0</v>
      </c>
      <c r="M703" s="59">
        <v>0</v>
      </c>
      <c r="N703" s="59">
        <v>0</v>
      </c>
      <c r="O703" s="59">
        <v>4</v>
      </c>
      <c r="P703" s="59">
        <v>2</v>
      </c>
      <c r="Q703" s="59">
        <v>0</v>
      </c>
      <c r="R703" s="59">
        <v>0</v>
      </c>
      <c r="S703" s="35">
        <f t="shared" si="339"/>
        <v>44</v>
      </c>
      <c r="T703" s="59"/>
      <c r="U703" s="59">
        <v>12</v>
      </c>
      <c r="V703" s="59">
        <v>12</v>
      </c>
      <c r="W703" s="59">
        <v>0</v>
      </c>
      <c r="X703" s="62">
        <v>0</v>
      </c>
      <c r="Y703" s="10"/>
      <c r="Z703" s="61">
        <v>121008</v>
      </c>
      <c r="AA703" s="101"/>
      <c r="AB703" s="101"/>
      <c r="AC703" s="61">
        <v>689291</v>
      </c>
      <c r="AD703" s="59"/>
      <c r="AE703" s="35">
        <f t="shared" si="336"/>
        <v>689291</v>
      </c>
      <c r="AF703" s="10"/>
      <c r="AG703" s="61">
        <v>44</v>
      </c>
      <c r="AH703" s="59">
        <v>10</v>
      </c>
      <c r="AI703" s="59">
        <v>68</v>
      </c>
      <c r="AJ703" s="62"/>
      <c r="AK703" s="10"/>
      <c r="AL703" s="8"/>
      <c r="AM703" s="10"/>
      <c r="AN703" s="35"/>
      <c r="AO703" s="279"/>
      <c r="AP703" s="279"/>
      <c r="AQ703" s="281"/>
      <c r="AR703" s="59">
        <v>148</v>
      </c>
      <c r="AS703" s="59"/>
      <c r="AT703" s="59"/>
      <c r="AU703" s="59"/>
      <c r="AV703" s="62"/>
      <c r="AW703" s="10"/>
      <c r="AX703" s="326">
        <v>40586</v>
      </c>
      <c r="AY703" s="5">
        <v>-3</v>
      </c>
      <c r="AZ703" s="10"/>
      <c r="BA703" s="61"/>
      <c r="BB703" s="59"/>
      <c r="BC703" s="59"/>
      <c r="BD703" s="59"/>
      <c r="BE703" s="59"/>
      <c r="BF703" s="59"/>
      <c r="BG703" s="59"/>
      <c r="BH703" s="351"/>
      <c r="BI703" s="59"/>
      <c r="BJ703" s="342"/>
      <c r="BK703" s="342"/>
      <c r="BL703" s="320"/>
      <c r="BM703" s="62"/>
      <c r="BN703" s="10"/>
      <c r="BO703" s="8"/>
      <c r="BP703" s="62"/>
      <c r="BQ703" s="10"/>
      <c r="BR703" s="29">
        <v>2011</v>
      </c>
      <c r="BS703" s="64">
        <v>2011</v>
      </c>
      <c r="BT703" s="14">
        <v>4</v>
      </c>
      <c r="BU703" s="10"/>
      <c r="BV703" s="8"/>
      <c r="BW703" s="59">
        <v>1</v>
      </c>
      <c r="BX703" s="59"/>
      <c r="BY703" s="59"/>
      <c r="BZ703" s="59"/>
      <c r="CA703" s="59"/>
      <c r="CB703" s="59"/>
      <c r="CC703" s="221"/>
      <c r="CD703" s="59">
        <v>5</v>
      </c>
      <c r="CE703" s="59"/>
      <c r="CF703" s="221"/>
      <c r="CG703" s="59"/>
      <c r="CH703" s="59"/>
      <c r="CI703" s="59"/>
      <c r="CJ703" s="59">
        <v>1</v>
      </c>
      <c r="CK703" s="59"/>
      <c r="CL703" s="59"/>
      <c r="CM703" s="59"/>
      <c r="CN703" s="59">
        <v>4</v>
      </c>
      <c r="CO703" s="59"/>
      <c r="CP703" s="317"/>
      <c r="CQ703" s="59"/>
      <c r="CR703" s="59"/>
      <c r="CS703" s="59">
        <v>2</v>
      </c>
      <c r="CT703" s="59">
        <v>3</v>
      </c>
      <c r="CU703" s="221"/>
      <c r="CV703" s="59"/>
      <c r="CW703" s="59"/>
      <c r="CX703" s="59"/>
      <c r="CY703" s="59"/>
      <c r="CZ703" s="59"/>
      <c r="DA703" s="59"/>
      <c r="DB703" s="59">
        <v>16</v>
      </c>
      <c r="DC703" s="59"/>
      <c r="DD703" s="59"/>
      <c r="DE703" s="59"/>
      <c r="DF703" s="59"/>
      <c r="DG703" s="59">
        <v>11</v>
      </c>
      <c r="DH703" s="59"/>
      <c r="DI703" s="59">
        <v>1</v>
      </c>
      <c r="DJ703" s="59"/>
      <c r="DK703" s="59"/>
      <c r="DL703" s="221"/>
      <c r="DM703" s="59"/>
      <c r="DN703" s="59"/>
      <c r="DO703" s="59"/>
      <c r="DP703" s="59"/>
      <c r="DQ703" s="59"/>
      <c r="DR703" s="59"/>
      <c r="DS703" s="59"/>
      <c r="DT703" s="59"/>
      <c r="DU703" s="59"/>
      <c r="DV703" s="38">
        <f t="shared" si="338"/>
        <v>44</v>
      </c>
      <c r="DW703" s="14" t="str">
        <f t="shared" si="337"/>
        <v/>
      </c>
      <c r="DY703">
        <f t="shared" si="340"/>
        <v>44</v>
      </c>
      <c r="DZ703" t="str">
        <f t="shared" si="341"/>
        <v/>
      </c>
    </row>
    <row r="704" spans="1:130" customFormat="1">
      <c r="A704" s="210">
        <v>40603</v>
      </c>
      <c r="B704" s="211"/>
      <c r="C704" s="61">
        <v>1</v>
      </c>
      <c r="D704" s="59">
        <v>12</v>
      </c>
      <c r="E704" s="59">
        <v>2</v>
      </c>
      <c r="F704" s="59">
        <v>1</v>
      </c>
      <c r="G704" s="59">
        <v>1</v>
      </c>
      <c r="H704" s="59">
        <v>1</v>
      </c>
      <c r="I704" s="59">
        <v>0</v>
      </c>
      <c r="J704" s="59">
        <v>21</v>
      </c>
      <c r="K704" s="59">
        <v>0</v>
      </c>
      <c r="L704" s="59">
        <v>0</v>
      </c>
      <c r="M704" s="59">
        <v>0</v>
      </c>
      <c r="N704" s="59">
        <v>0</v>
      </c>
      <c r="O704" s="59">
        <v>1</v>
      </c>
      <c r="P704" s="59">
        <v>1</v>
      </c>
      <c r="Q704" s="59">
        <v>0</v>
      </c>
      <c r="R704" s="59">
        <v>0</v>
      </c>
      <c r="S704" s="35">
        <f t="shared" si="339"/>
        <v>41</v>
      </c>
      <c r="T704" s="59"/>
      <c r="U704" s="59">
        <v>14</v>
      </c>
      <c r="V704" s="59">
        <v>13</v>
      </c>
      <c r="W704" s="59">
        <v>0</v>
      </c>
      <c r="X704" s="62">
        <v>0</v>
      </c>
      <c r="Y704" s="10"/>
      <c r="Z704" s="61">
        <v>266425</v>
      </c>
      <c r="AA704" s="101"/>
      <c r="AB704" s="101"/>
      <c r="AC704" s="61">
        <v>1200910</v>
      </c>
      <c r="AD704" s="59"/>
      <c r="AE704" s="35">
        <f t="shared" si="336"/>
        <v>1200910</v>
      </c>
      <c r="AF704" s="10"/>
      <c r="AG704" s="61">
        <v>114</v>
      </c>
      <c r="AH704" s="59">
        <v>13</v>
      </c>
      <c r="AI704" s="59">
        <v>142</v>
      </c>
      <c r="AJ704" s="62"/>
      <c r="AK704" s="10"/>
      <c r="AL704" s="8"/>
      <c r="AM704" s="10"/>
      <c r="AN704" s="35"/>
      <c r="AO704" s="279"/>
      <c r="AP704" s="279"/>
      <c r="AQ704" s="281"/>
      <c r="AR704" s="59">
        <v>148</v>
      </c>
      <c r="AS704" s="59">
        <v>100</v>
      </c>
      <c r="AT704" s="59">
        <v>170</v>
      </c>
      <c r="AU704" s="59">
        <v>19</v>
      </c>
      <c r="AV704" s="62">
        <v>337</v>
      </c>
      <c r="AW704" s="10"/>
      <c r="AX704" s="326">
        <v>40599</v>
      </c>
      <c r="AY704" s="5">
        <v>-4</v>
      </c>
      <c r="AZ704" s="10"/>
      <c r="BA704" s="61">
        <v>1975</v>
      </c>
      <c r="BB704" s="59">
        <v>67666081</v>
      </c>
      <c r="BC704" s="59"/>
      <c r="BD704" s="59"/>
      <c r="BE704" s="59">
        <v>68</v>
      </c>
      <c r="BF704" s="59">
        <v>5</v>
      </c>
      <c r="BG704" s="59">
        <v>0</v>
      </c>
      <c r="BH704" s="30">
        <f>SUM(BE704:BG704)</f>
        <v>73</v>
      </c>
      <c r="BI704" s="59">
        <v>3235863</v>
      </c>
      <c r="BJ704" s="342">
        <v>40612</v>
      </c>
      <c r="BK704" s="342">
        <v>40612</v>
      </c>
      <c r="BL704" s="320">
        <f>BK704-BJ704</f>
        <v>0</v>
      </c>
      <c r="BM704" s="62"/>
      <c r="BN704" s="59"/>
      <c r="BO704" s="61"/>
      <c r="BP704" s="5">
        <v>166</v>
      </c>
      <c r="BQ704" s="10"/>
      <c r="BR704" s="29">
        <v>2011</v>
      </c>
      <c r="BS704" s="64">
        <v>2011</v>
      </c>
      <c r="BT704" s="14">
        <v>5</v>
      </c>
      <c r="BU704" s="10"/>
      <c r="BV704" s="8"/>
      <c r="BW704" s="59">
        <v>3</v>
      </c>
      <c r="BX704" s="59"/>
      <c r="BY704" s="59"/>
      <c r="BZ704" s="59"/>
      <c r="CA704" s="59"/>
      <c r="CB704" s="59"/>
      <c r="CC704" s="221"/>
      <c r="CD704" s="59">
        <v>1</v>
      </c>
      <c r="CE704" s="59"/>
      <c r="CF704" s="221"/>
      <c r="CG704" s="59"/>
      <c r="CH704" s="59"/>
      <c r="CI704" s="59">
        <v>1</v>
      </c>
      <c r="CJ704" s="59">
        <v>3</v>
      </c>
      <c r="CK704" s="59"/>
      <c r="CL704" s="59"/>
      <c r="CM704" s="59"/>
      <c r="CN704" s="59"/>
      <c r="CO704" s="59"/>
      <c r="CP704" s="317"/>
      <c r="CQ704" s="59"/>
      <c r="CR704" s="59"/>
      <c r="CS704" s="59">
        <v>2</v>
      </c>
      <c r="CT704" s="59"/>
      <c r="CU704" s="221"/>
      <c r="CV704" s="59">
        <v>4</v>
      </c>
      <c r="CW704" s="59"/>
      <c r="CX704" s="59"/>
      <c r="CY704" s="59"/>
      <c r="CZ704" s="59"/>
      <c r="DA704" s="59"/>
      <c r="DB704" s="59">
        <v>19</v>
      </c>
      <c r="DC704" s="59"/>
      <c r="DD704" s="59"/>
      <c r="DE704" s="59"/>
      <c r="DF704" s="59"/>
      <c r="DG704" s="59"/>
      <c r="DH704" s="59">
        <v>1</v>
      </c>
      <c r="DI704" s="59">
        <v>1</v>
      </c>
      <c r="DJ704" s="59"/>
      <c r="DK704" s="59"/>
      <c r="DL704" s="221"/>
      <c r="DM704" s="59"/>
      <c r="DN704" s="59">
        <v>3</v>
      </c>
      <c r="DO704" s="59">
        <v>1</v>
      </c>
      <c r="DP704" s="59"/>
      <c r="DQ704" s="59"/>
      <c r="DR704" s="59"/>
      <c r="DS704" s="59">
        <v>2</v>
      </c>
      <c r="DT704" s="59"/>
      <c r="DU704" s="59"/>
      <c r="DV704" s="38">
        <f t="shared" si="338"/>
        <v>41</v>
      </c>
      <c r="DW704" s="14" t="str">
        <f t="shared" si="337"/>
        <v/>
      </c>
      <c r="DY704">
        <f t="shared" si="340"/>
        <v>41</v>
      </c>
      <c r="DZ704" t="str">
        <f t="shared" si="341"/>
        <v/>
      </c>
    </row>
    <row r="705" spans="1:130" customFormat="1">
      <c r="A705" s="210">
        <v>40617</v>
      </c>
      <c r="B705" s="211"/>
      <c r="C705" s="61">
        <v>2</v>
      </c>
      <c r="D705" s="59">
        <v>18</v>
      </c>
      <c r="E705" s="59">
        <v>1</v>
      </c>
      <c r="F705" s="59">
        <v>0</v>
      </c>
      <c r="G705" s="59">
        <v>1</v>
      </c>
      <c r="H705" s="59">
        <v>0</v>
      </c>
      <c r="I705" s="59">
        <v>0</v>
      </c>
      <c r="J705" s="59">
        <v>13</v>
      </c>
      <c r="K705" s="59">
        <v>0</v>
      </c>
      <c r="L705" s="59">
        <v>0</v>
      </c>
      <c r="M705" s="59">
        <v>0</v>
      </c>
      <c r="N705" s="59">
        <v>0</v>
      </c>
      <c r="O705" s="59">
        <v>3</v>
      </c>
      <c r="P705" s="59">
        <v>1</v>
      </c>
      <c r="Q705" s="59">
        <v>0</v>
      </c>
      <c r="R705" s="59">
        <v>0</v>
      </c>
      <c r="S705" s="35">
        <f t="shared" si="339"/>
        <v>39</v>
      </c>
      <c r="T705" s="59"/>
      <c r="U705" s="59">
        <v>6</v>
      </c>
      <c r="V705" s="59">
        <v>5</v>
      </c>
      <c r="W705" s="59">
        <v>0</v>
      </c>
      <c r="X705" s="62">
        <v>0</v>
      </c>
      <c r="Y705" s="10"/>
      <c r="Z705" s="61">
        <v>247516</v>
      </c>
      <c r="AA705" s="101"/>
      <c r="AB705" s="101"/>
      <c r="AC705" s="61">
        <v>1476278</v>
      </c>
      <c r="AD705" s="59"/>
      <c r="AE705" s="35">
        <f t="shared" si="336"/>
        <v>1476278</v>
      </c>
      <c r="AF705" s="10"/>
      <c r="AG705" s="61">
        <v>104</v>
      </c>
      <c r="AH705" s="59">
        <v>17</v>
      </c>
      <c r="AI705" s="59">
        <v>134</v>
      </c>
      <c r="AJ705" s="62"/>
      <c r="AK705" s="10"/>
      <c r="AL705" s="8"/>
      <c r="AM705" s="10"/>
      <c r="AN705" s="35"/>
      <c r="AO705" s="279"/>
      <c r="AP705" s="279"/>
      <c r="AQ705" s="281"/>
      <c r="AR705" s="59">
        <v>147</v>
      </c>
      <c r="AS705" s="59"/>
      <c r="AT705" s="59"/>
      <c r="AU705" s="59"/>
      <c r="AV705" s="62"/>
      <c r="AW705" s="10"/>
      <c r="AX705" s="326">
        <v>40612</v>
      </c>
      <c r="AY705" s="5">
        <v>-5</v>
      </c>
      <c r="AZ705" s="10"/>
      <c r="BA705" s="8"/>
      <c r="BB705" s="295"/>
      <c r="BC705" s="295"/>
      <c r="BD705" s="318"/>
      <c r="BE705" s="295"/>
      <c r="BF705" s="295"/>
      <c r="BG705" s="295"/>
      <c r="BH705" s="30"/>
      <c r="BI705" s="295"/>
      <c r="BJ705" s="327"/>
      <c r="BK705" s="327"/>
      <c r="BL705" s="320"/>
      <c r="BM705" s="5"/>
      <c r="BN705" s="10"/>
      <c r="BO705" s="8"/>
      <c r="BP705" s="5"/>
      <c r="BQ705" s="10"/>
      <c r="BR705" s="29">
        <v>2011</v>
      </c>
      <c r="BS705" s="64">
        <v>2011</v>
      </c>
      <c r="BT705" s="14">
        <v>6</v>
      </c>
      <c r="BU705" s="10"/>
      <c r="BV705" s="8"/>
      <c r="BW705" s="59">
        <v>1</v>
      </c>
      <c r="BX705" s="59"/>
      <c r="BY705" s="59"/>
      <c r="BZ705" s="59"/>
      <c r="CA705" s="59"/>
      <c r="CB705" s="59"/>
      <c r="CC705" s="221"/>
      <c r="CD705" s="59">
        <v>6</v>
      </c>
      <c r="CE705" s="59">
        <v>2</v>
      </c>
      <c r="CF705" s="221"/>
      <c r="CG705" s="59"/>
      <c r="CH705" s="59"/>
      <c r="CI705" s="59">
        <v>1</v>
      </c>
      <c r="CJ705" s="59">
        <v>3</v>
      </c>
      <c r="CK705" s="59"/>
      <c r="CL705" s="59">
        <v>5</v>
      </c>
      <c r="CM705" s="59"/>
      <c r="CN705" s="59">
        <v>3</v>
      </c>
      <c r="CO705" s="59">
        <v>1</v>
      </c>
      <c r="CP705" s="317"/>
      <c r="CQ705" s="59"/>
      <c r="CR705" s="59"/>
      <c r="CS705" s="59"/>
      <c r="CT705" s="59">
        <v>1</v>
      </c>
      <c r="CU705" s="221"/>
      <c r="CV705" s="59">
        <v>3</v>
      </c>
      <c r="CW705" s="59"/>
      <c r="CX705" s="59"/>
      <c r="CY705" s="59"/>
      <c r="CZ705" s="59"/>
      <c r="DA705" s="59"/>
      <c r="DB705" s="59">
        <v>3</v>
      </c>
      <c r="DC705" s="59"/>
      <c r="DD705" s="59"/>
      <c r="DE705" s="59"/>
      <c r="DF705" s="59"/>
      <c r="DG705" s="59">
        <v>2</v>
      </c>
      <c r="DH705" s="59"/>
      <c r="DI705" s="59"/>
      <c r="DJ705" s="59"/>
      <c r="DK705" s="59"/>
      <c r="DL705" s="221"/>
      <c r="DM705" s="59"/>
      <c r="DN705" s="59"/>
      <c r="DO705" s="59">
        <v>6</v>
      </c>
      <c r="DP705" s="59">
        <v>2</v>
      </c>
      <c r="DQ705" s="59"/>
      <c r="DR705" s="59"/>
      <c r="DS705" s="59"/>
      <c r="DT705" s="59"/>
      <c r="DU705" s="59"/>
      <c r="DV705" s="38">
        <f t="shared" si="338"/>
        <v>39</v>
      </c>
      <c r="DW705" s="14" t="str">
        <f t="shared" si="337"/>
        <v/>
      </c>
      <c r="DY705">
        <f t="shared" si="340"/>
        <v>39</v>
      </c>
      <c r="DZ705" t="str">
        <f t="shared" si="341"/>
        <v/>
      </c>
    </row>
    <row r="706" spans="1:130" customFormat="1">
      <c r="A706" s="210">
        <v>40634</v>
      </c>
      <c r="B706" s="211"/>
      <c r="C706" s="61">
        <v>2</v>
      </c>
      <c r="D706" s="59">
        <v>11</v>
      </c>
      <c r="E706" s="59">
        <v>0</v>
      </c>
      <c r="F706" s="59">
        <v>0</v>
      </c>
      <c r="G706" s="59">
        <v>2</v>
      </c>
      <c r="H706" s="59">
        <v>1</v>
      </c>
      <c r="I706" s="59">
        <v>0</v>
      </c>
      <c r="J706" s="59">
        <v>11</v>
      </c>
      <c r="K706" s="59">
        <v>0</v>
      </c>
      <c r="L706" s="59">
        <v>1</v>
      </c>
      <c r="M706" s="59">
        <v>0</v>
      </c>
      <c r="N706" s="59">
        <v>0</v>
      </c>
      <c r="O706" s="59">
        <v>2</v>
      </c>
      <c r="P706" s="59">
        <v>1</v>
      </c>
      <c r="Q706" s="59">
        <v>0</v>
      </c>
      <c r="R706" s="59">
        <v>0</v>
      </c>
      <c r="S706" s="35">
        <f t="shared" si="339"/>
        <v>31</v>
      </c>
      <c r="T706" s="59"/>
      <c r="U706" s="59">
        <v>14</v>
      </c>
      <c r="V706" s="59">
        <v>11</v>
      </c>
      <c r="W706" s="59">
        <v>0</v>
      </c>
      <c r="X706" s="62">
        <v>0</v>
      </c>
      <c r="Y706" s="10"/>
      <c r="Z706" s="61">
        <v>171262</v>
      </c>
      <c r="AA706" s="101"/>
      <c r="AB706" s="101"/>
      <c r="AC706" s="61">
        <v>716781</v>
      </c>
      <c r="AD706" s="59"/>
      <c r="AE706" s="35">
        <f t="shared" si="336"/>
        <v>716781</v>
      </c>
      <c r="AF706" s="10"/>
      <c r="AG706" s="61">
        <v>50</v>
      </c>
      <c r="AH706" s="59">
        <v>19</v>
      </c>
      <c r="AI706" s="59">
        <v>80</v>
      </c>
      <c r="AJ706" s="62"/>
      <c r="AK706" s="10"/>
      <c r="AL706" s="8">
        <v>0</v>
      </c>
      <c r="AM706" s="59">
        <v>38</v>
      </c>
      <c r="AN706" s="35">
        <f>SUM(AL706:AM706)</f>
        <v>38</v>
      </c>
      <c r="AO706" s="279"/>
      <c r="AP706" s="279"/>
      <c r="AQ706" s="281"/>
      <c r="AR706" s="59">
        <v>148</v>
      </c>
      <c r="AS706" s="59">
        <v>99</v>
      </c>
      <c r="AT706" s="59">
        <v>170</v>
      </c>
      <c r="AU706" s="59">
        <v>19</v>
      </c>
      <c r="AV706" s="62">
        <v>336</v>
      </c>
      <c r="AW706" s="10"/>
      <c r="AX706" s="326">
        <v>40632</v>
      </c>
      <c r="AY706" s="5">
        <v>-2</v>
      </c>
      <c r="AZ706" s="10"/>
      <c r="BA706" s="8">
        <v>1976</v>
      </c>
      <c r="BB706" s="295">
        <v>53067712</v>
      </c>
      <c r="BC706" s="295"/>
      <c r="BD706" s="318"/>
      <c r="BE706" s="295">
        <v>41</v>
      </c>
      <c r="BF706" s="295">
        <v>2</v>
      </c>
      <c r="BG706" s="295">
        <v>0</v>
      </c>
      <c r="BH706" s="30">
        <f>SUM(BE706:BG706)</f>
        <v>43</v>
      </c>
      <c r="BI706" s="295">
        <v>1343834</v>
      </c>
      <c r="BJ706" s="327">
        <v>40643</v>
      </c>
      <c r="BK706" s="327">
        <v>40639</v>
      </c>
      <c r="BL706" s="320">
        <f>BK706-BJ706</f>
        <v>-4</v>
      </c>
      <c r="BM706" s="5"/>
      <c r="BN706" s="59"/>
      <c r="BO706" s="61"/>
      <c r="BP706" s="5">
        <v>166</v>
      </c>
      <c r="BQ706" s="10"/>
      <c r="BR706" s="29">
        <v>2011</v>
      </c>
      <c r="BS706" s="64">
        <v>2011</v>
      </c>
      <c r="BT706" s="14">
        <v>7</v>
      </c>
      <c r="BU706" s="10"/>
      <c r="BV706" s="8"/>
      <c r="BW706" s="59">
        <v>5</v>
      </c>
      <c r="BX706" s="59"/>
      <c r="BY706" s="59"/>
      <c r="BZ706" s="59"/>
      <c r="CA706" s="59"/>
      <c r="CB706" s="59"/>
      <c r="CC706" s="221"/>
      <c r="CD706" s="59">
        <v>5</v>
      </c>
      <c r="CE706" s="59"/>
      <c r="CF706" s="221"/>
      <c r="CG706" s="59"/>
      <c r="CH706" s="59"/>
      <c r="CI706" s="59">
        <v>1</v>
      </c>
      <c r="CJ706" s="59">
        <v>2</v>
      </c>
      <c r="CK706" s="59"/>
      <c r="CL706" s="59"/>
      <c r="CM706" s="59"/>
      <c r="CN706" s="59"/>
      <c r="CO706" s="59">
        <v>4</v>
      </c>
      <c r="CP706" s="317"/>
      <c r="CQ706" s="59"/>
      <c r="CR706" s="59"/>
      <c r="CS706" s="59"/>
      <c r="CT706" s="59">
        <v>1</v>
      </c>
      <c r="CU706" s="221"/>
      <c r="CV706" s="59">
        <v>1</v>
      </c>
      <c r="CW706" s="59"/>
      <c r="CX706" s="59"/>
      <c r="CY706" s="59"/>
      <c r="CZ706" s="59"/>
      <c r="DA706" s="59"/>
      <c r="DB706" s="59">
        <v>6</v>
      </c>
      <c r="DC706" s="59"/>
      <c r="DD706" s="59"/>
      <c r="DE706" s="59"/>
      <c r="DF706" s="59"/>
      <c r="DG706" s="59">
        <v>5</v>
      </c>
      <c r="DH706" s="59"/>
      <c r="DI706" s="59"/>
      <c r="DJ706" s="59"/>
      <c r="DK706" s="59"/>
      <c r="DL706" s="221"/>
      <c r="DM706" s="59"/>
      <c r="DN706" s="59"/>
      <c r="DO706" s="59"/>
      <c r="DP706" s="59"/>
      <c r="DQ706" s="59"/>
      <c r="DR706" s="59"/>
      <c r="DS706" s="59">
        <v>1</v>
      </c>
      <c r="DT706" s="59"/>
      <c r="DU706" s="59"/>
      <c r="DV706" s="38">
        <f t="shared" si="338"/>
        <v>31</v>
      </c>
      <c r="DW706" s="14" t="str">
        <f t="shared" si="337"/>
        <v/>
      </c>
      <c r="DY706">
        <f t="shared" si="340"/>
        <v>31</v>
      </c>
      <c r="DZ706" t="str">
        <f t="shared" si="341"/>
        <v/>
      </c>
    </row>
    <row r="707" spans="1:130" customFormat="1">
      <c r="A707" s="210">
        <v>40648</v>
      </c>
      <c r="B707" s="211"/>
      <c r="C707" s="61">
        <v>0</v>
      </c>
      <c r="D707" s="59">
        <v>11</v>
      </c>
      <c r="E707" s="59">
        <v>0</v>
      </c>
      <c r="F707" s="59">
        <v>0</v>
      </c>
      <c r="G707" s="59">
        <v>0</v>
      </c>
      <c r="H707" s="59">
        <v>0</v>
      </c>
      <c r="I707" s="59">
        <v>0</v>
      </c>
      <c r="J707" s="59">
        <v>18</v>
      </c>
      <c r="K707" s="59">
        <v>0</v>
      </c>
      <c r="L707" s="59">
        <v>0</v>
      </c>
      <c r="M707" s="59">
        <v>0</v>
      </c>
      <c r="N707" s="59">
        <v>0</v>
      </c>
      <c r="O707" s="59">
        <v>3</v>
      </c>
      <c r="P707" s="59">
        <v>0</v>
      </c>
      <c r="Q707" s="59">
        <v>0</v>
      </c>
      <c r="R707" s="59">
        <v>0</v>
      </c>
      <c r="S707" s="35">
        <f t="shared" si="339"/>
        <v>32</v>
      </c>
      <c r="T707" s="59"/>
      <c r="U707" s="59">
        <v>11</v>
      </c>
      <c r="V707" s="59">
        <v>10</v>
      </c>
      <c r="W707" s="59">
        <v>0</v>
      </c>
      <c r="X707" s="62">
        <v>0</v>
      </c>
      <c r="Y707" s="10"/>
      <c r="Z707" s="61">
        <v>152790</v>
      </c>
      <c r="AA707" s="101"/>
      <c r="AB707" s="101"/>
      <c r="AC707" s="61">
        <v>585068</v>
      </c>
      <c r="AD707" s="59"/>
      <c r="AE707" s="35">
        <f t="shared" si="336"/>
        <v>585068</v>
      </c>
      <c r="AF707" s="10"/>
      <c r="AG707" s="61">
        <v>29</v>
      </c>
      <c r="AH707" s="59">
        <v>21</v>
      </c>
      <c r="AI707" s="59">
        <v>70</v>
      </c>
      <c r="AJ707" s="62"/>
      <c r="AK707" s="10"/>
      <c r="AL707" s="8"/>
      <c r="AM707" s="10"/>
      <c r="AN707" s="35"/>
      <c r="AO707" s="279"/>
      <c r="AP707" s="279"/>
      <c r="AQ707" s="281"/>
      <c r="AR707" s="59">
        <v>148</v>
      </c>
      <c r="AS707" s="59">
        <v>100</v>
      </c>
      <c r="AT707" s="59">
        <v>169</v>
      </c>
      <c r="AU707" s="59">
        <v>19</v>
      </c>
      <c r="AV707" s="62">
        <v>336</v>
      </c>
      <c r="AW707" s="10"/>
      <c r="AX707" s="326">
        <v>40646</v>
      </c>
      <c r="AY707" s="5">
        <v>-2</v>
      </c>
      <c r="AZ707" s="10"/>
      <c r="BA707" s="8"/>
      <c r="BB707" s="295"/>
      <c r="BC707" s="295"/>
      <c r="BD707" s="318"/>
      <c r="BE707" s="295"/>
      <c r="BF707" s="295"/>
      <c r="BG707" s="295"/>
      <c r="BH707" s="30"/>
      <c r="BI707" s="295"/>
      <c r="BJ707" s="327"/>
      <c r="BK707" s="327"/>
      <c r="BL707" s="320"/>
      <c r="BM707" s="5"/>
      <c r="BN707" s="10"/>
      <c r="BO707" s="8"/>
      <c r="BP707" s="5"/>
      <c r="BQ707" s="10"/>
      <c r="BR707" s="29">
        <v>2011</v>
      </c>
      <c r="BS707" s="64">
        <v>2011</v>
      </c>
      <c r="BT707" s="14">
        <v>8</v>
      </c>
      <c r="BU707" s="10"/>
      <c r="BV707" s="8"/>
      <c r="BW707" s="59">
        <v>3</v>
      </c>
      <c r="BX707" s="59"/>
      <c r="BY707" s="59"/>
      <c r="BZ707" s="59"/>
      <c r="CA707" s="59"/>
      <c r="CB707" s="59"/>
      <c r="CC707" s="221"/>
      <c r="CD707" s="59">
        <v>4</v>
      </c>
      <c r="CE707" s="59">
        <v>1</v>
      </c>
      <c r="CF707" s="221"/>
      <c r="CG707" s="59">
        <v>2</v>
      </c>
      <c r="CH707" s="59"/>
      <c r="CI707" s="59">
        <v>3</v>
      </c>
      <c r="CJ707" s="59"/>
      <c r="CK707" s="59"/>
      <c r="CL707" s="59"/>
      <c r="CM707" s="59"/>
      <c r="CN707" s="59"/>
      <c r="CO707" s="59">
        <v>4</v>
      </c>
      <c r="CP707" s="317"/>
      <c r="CQ707" s="59"/>
      <c r="CR707" s="59"/>
      <c r="CS707" s="59"/>
      <c r="CT707" s="59">
        <v>5</v>
      </c>
      <c r="CU707" s="221"/>
      <c r="CV707" s="59">
        <v>1</v>
      </c>
      <c r="CW707" s="59"/>
      <c r="CX707" s="59"/>
      <c r="CY707" s="59"/>
      <c r="CZ707" s="59"/>
      <c r="DA707" s="59"/>
      <c r="DB707" s="59">
        <v>4</v>
      </c>
      <c r="DC707" s="59"/>
      <c r="DD707" s="59"/>
      <c r="DE707" s="59"/>
      <c r="DF707" s="59"/>
      <c r="DG707" s="59">
        <v>1</v>
      </c>
      <c r="DH707" s="59"/>
      <c r="DI707" s="59">
        <v>1</v>
      </c>
      <c r="DJ707" s="59"/>
      <c r="DK707" s="59"/>
      <c r="DL707" s="221"/>
      <c r="DM707" s="59">
        <v>1</v>
      </c>
      <c r="DN707" s="59"/>
      <c r="DO707" s="59"/>
      <c r="DP707" s="59"/>
      <c r="DQ707" s="59"/>
      <c r="DR707" s="59"/>
      <c r="DS707" s="59">
        <v>2</v>
      </c>
      <c r="DT707" s="59"/>
      <c r="DU707" s="59"/>
      <c r="DV707" s="38">
        <f t="shared" si="338"/>
        <v>32</v>
      </c>
      <c r="DW707" s="14" t="str">
        <f t="shared" si="337"/>
        <v/>
      </c>
      <c r="DY707">
        <f t="shared" si="340"/>
        <v>32</v>
      </c>
      <c r="DZ707" t="str">
        <f t="shared" si="341"/>
        <v/>
      </c>
    </row>
    <row r="708" spans="1:130" customFormat="1">
      <c r="A708" s="210">
        <v>40664</v>
      </c>
      <c r="B708" s="211"/>
      <c r="C708" s="61">
        <v>3</v>
      </c>
      <c r="D708" s="59">
        <v>23</v>
      </c>
      <c r="E708" s="59">
        <v>0</v>
      </c>
      <c r="F708" s="59">
        <v>6</v>
      </c>
      <c r="G708" s="59">
        <v>1</v>
      </c>
      <c r="H708" s="59">
        <v>0</v>
      </c>
      <c r="I708" s="59">
        <v>0</v>
      </c>
      <c r="J708" s="59">
        <v>9</v>
      </c>
      <c r="K708" s="59">
        <v>0</v>
      </c>
      <c r="L708" s="59">
        <v>0</v>
      </c>
      <c r="M708" s="59">
        <v>0</v>
      </c>
      <c r="N708" s="59">
        <v>0</v>
      </c>
      <c r="O708" s="59">
        <v>114</v>
      </c>
      <c r="P708" s="59">
        <v>1</v>
      </c>
      <c r="Q708" s="59">
        <v>0</v>
      </c>
      <c r="R708" s="59">
        <v>0</v>
      </c>
      <c r="S708" s="35">
        <f>SUM(C708:R708)</f>
        <v>157</v>
      </c>
      <c r="T708" s="59"/>
      <c r="U708" s="59">
        <v>30</v>
      </c>
      <c r="V708" s="59">
        <v>24</v>
      </c>
      <c r="W708" s="59">
        <v>0</v>
      </c>
      <c r="X708" s="62">
        <v>0</v>
      </c>
      <c r="Y708" s="10"/>
      <c r="Z708" s="61">
        <v>320693</v>
      </c>
      <c r="AA708" s="101"/>
      <c r="AB708" s="101"/>
      <c r="AC708" s="61">
        <v>5407479</v>
      </c>
      <c r="AD708" s="59"/>
      <c r="AE708" s="35">
        <f t="shared" si="336"/>
        <v>5407479</v>
      </c>
      <c r="AF708" s="10"/>
      <c r="AG708" s="61">
        <v>121</v>
      </c>
      <c r="AH708" s="59">
        <v>26</v>
      </c>
      <c r="AI708" s="59">
        <v>156</v>
      </c>
      <c r="AJ708" s="62"/>
      <c r="AK708" s="10"/>
      <c r="AL708" s="8"/>
      <c r="AM708" s="10"/>
      <c r="AN708" s="35"/>
      <c r="AO708" s="279"/>
      <c r="AP708" s="279"/>
      <c r="AQ708" s="281"/>
      <c r="AR708" s="59">
        <v>147</v>
      </c>
      <c r="AS708" s="59"/>
      <c r="AT708" s="59"/>
      <c r="AU708" s="59"/>
      <c r="AV708" s="62"/>
      <c r="AW708" s="10"/>
      <c r="AX708" s="326">
        <v>40661</v>
      </c>
      <c r="AY708" s="5">
        <v>-3</v>
      </c>
      <c r="AZ708" s="10"/>
      <c r="BA708" s="8">
        <v>1976</v>
      </c>
      <c r="BB708" s="295">
        <v>67810369</v>
      </c>
      <c r="BC708" s="295"/>
      <c r="BD708" s="318"/>
      <c r="BE708" s="295">
        <v>62</v>
      </c>
      <c r="BF708" s="295">
        <v>3</v>
      </c>
      <c r="BG708" s="295">
        <v>3</v>
      </c>
      <c r="BH708" s="30">
        <f>SUM(BE708:BG708)</f>
        <v>68</v>
      </c>
      <c r="BI708" s="295">
        <v>3550905</v>
      </c>
      <c r="BJ708" s="327">
        <v>40673</v>
      </c>
      <c r="BK708" s="327">
        <v>40681</v>
      </c>
      <c r="BL708" s="320">
        <f>BK708-BJ708</f>
        <v>8</v>
      </c>
      <c r="BM708" s="5"/>
      <c r="BN708" s="10"/>
      <c r="BO708" s="8"/>
      <c r="BP708" s="5">
        <v>166</v>
      </c>
      <c r="BQ708" s="10"/>
      <c r="BR708" s="29">
        <v>2011</v>
      </c>
      <c r="BS708" s="64">
        <v>2011</v>
      </c>
      <c r="BT708" s="14">
        <v>9</v>
      </c>
      <c r="BU708" s="10"/>
      <c r="BV708" s="8">
        <v>1</v>
      </c>
      <c r="BW708" s="59">
        <v>3</v>
      </c>
      <c r="BX708" s="59"/>
      <c r="BY708" s="59"/>
      <c r="BZ708" s="59"/>
      <c r="CA708" s="59">
        <v>1</v>
      </c>
      <c r="CB708" s="59"/>
      <c r="CC708" s="221"/>
      <c r="CD708" s="59">
        <v>3</v>
      </c>
      <c r="CE708" s="59"/>
      <c r="CF708" s="221"/>
      <c r="CG708" s="59"/>
      <c r="CH708" s="59"/>
      <c r="CI708" s="59"/>
      <c r="CJ708" s="59">
        <v>17</v>
      </c>
      <c r="CK708" s="59"/>
      <c r="CL708" s="59"/>
      <c r="CM708" s="59"/>
      <c r="CN708" s="59"/>
      <c r="CO708" s="59">
        <v>117</v>
      </c>
      <c r="CP708" s="317"/>
      <c r="CQ708" s="59"/>
      <c r="CR708" s="59"/>
      <c r="CS708" s="59"/>
      <c r="CT708" s="59">
        <v>1</v>
      </c>
      <c r="CU708" s="221"/>
      <c r="CV708" s="59"/>
      <c r="CW708" s="59"/>
      <c r="CX708" s="59"/>
      <c r="CY708" s="59"/>
      <c r="CZ708" s="59"/>
      <c r="DA708" s="59">
        <v>1</v>
      </c>
      <c r="DB708" s="59">
        <v>5</v>
      </c>
      <c r="DC708" s="59"/>
      <c r="DD708" s="59"/>
      <c r="DE708" s="59"/>
      <c r="DF708" s="59"/>
      <c r="DG708" s="59">
        <v>1</v>
      </c>
      <c r="DH708" s="59"/>
      <c r="DI708" s="59"/>
      <c r="DJ708" s="59"/>
      <c r="DK708" s="59"/>
      <c r="DL708" s="221"/>
      <c r="DM708" s="59">
        <v>3</v>
      </c>
      <c r="DN708" s="59">
        <v>1</v>
      </c>
      <c r="DO708" s="59">
        <v>1</v>
      </c>
      <c r="DP708" s="59"/>
      <c r="DQ708" s="59"/>
      <c r="DR708" s="59"/>
      <c r="DS708" s="59">
        <v>2</v>
      </c>
      <c r="DT708" s="59"/>
      <c r="DU708" s="59"/>
      <c r="DV708" s="38">
        <f t="shared" si="338"/>
        <v>157</v>
      </c>
      <c r="DW708" s="14" t="str">
        <f t="shared" si="337"/>
        <v/>
      </c>
      <c r="DY708">
        <f t="shared" si="340"/>
        <v>157</v>
      </c>
      <c r="DZ708" t="str">
        <f t="shared" si="341"/>
        <v/>
      </c>
    </row>
    <row r="709" spans="1:130" customFormat="1">
      <c r="A709" s="210">
        <v>40678</v>
      </c>
      <c r="B709" s="211"/>
      <c r="C709" s="61">
        <v>3</v>
      </c>
      <c r="D709" s="59">
        <v>35</v>
      </c>
      <c r="E709" s="59">
        <v>1</v>
      </c>
      <c r="F709" s="59">
        <v>1</v>
      </c>
      <c r="G709" s="59">
        <v>0</v>
      </c>
      <c r="H709" s="59">
        <v>0</v>
      </c>
      <c r="I709" s="59">
        <v>0</v>
      </c>
      <c r="J709" s="59">
        <v>8</v>
      </c>
      <c r="K709" s="59">
        <v>0</v>
      </c>
      <c r="L709" s="59">
        <v>0</v>
      </c>
      <c r="M709" s="59">
        <v>2</v>
      </c>
      <c r="N709" s="59">
        <v>0</v>
      </c>
      <c r="O709" s="59">
        <v>11</v>
      </c>
      <c r="P709" s="59">
        <v>5</v>
      </c>
      <c r="Q709" s="59">
        <v>0</v>
      </c>
      <c r="R709" s="59">
        <v>0</v>
      </c>
      <c r="S709" s="35">
        <f>SUM(C709:R709)</f>
        <v>66</v>
      </c>
      <c r="T709" s="59"/>
      <c r="U709" s="59">
        <v>33</v>
      </c>
      <c r="V709" s="59">
        <v>27</v>
      </c>
      <c r="W709" s="59">
        <v>0</v>
      </c>
      <c r="X709" s="62">
        <v>1</v>
      </c>
      <c r="Y709" s="10"/>
      <c r="Z709" s="61">
        <v>322354</v>
      </c>
      <c r="AA709" s="101"/>
      <c r="AB709" s="101"/>
      <c r="AC709" s="61">
        <v>2530508</v>
      </c>
      <c r="AD709" s="59"/>
      <c r="AE709" s="35">
        <f t="shared" si="336"/>
        <v>2530508</v>
      </c>
      <c r="AF709" s="10"/>
      <c r="AG709" s="61">
        <v>117</v>
      </c>
      <c r="AH709" s="59">
        <v>29</v>
      </c>
      <c r="AI709" s="59">
        <v>164</v>
      </c>
      <c r="AJ709" s="62"/>
      <c r="AK709" s="10"/>
      <c r="AL709" s="8"/>
      <c r="AM709" s="10"/>
      <c r="AN709" s="35"/>
      <c r="AO709" s="279"/>
      <c r="AP709" s="279"/>
      <c r="AQ709" s="281"/>
      <c r="AR709" s="59">
        <v>150</v>
      </c>
      <c r="AS709" s="59">
        <v>100</v>
      </c>
      <c r="AT709" s="59">
        <v>171</v>
      </c>
      <c r="AU709" s="59">
        <v>20</v>
      </c>
      <c r="AV709" s="62">
        <v>339</v>
      </c>
      <c r="AW709" s="10"/>
      <c r="AX709" s="326">
        <v>40675</v>
      </c>
      <c r="AY709" s="5">
        <v>-3</v>
      </c>
      <c r="AZ709" s="10"/>
      <c r="BA709" s="8"/>
      <c r="BB709" s="295"/>
      <c r="BC709" s="295"/>
      <c r="BD709" s="318"/>
      <c r="BE709" s="295"/>
      <c r="BF709" s="295"/>
      <c r="BG709" s="295"/>
      <c r="BH709" s="30"/>
      <c r="BI709" s="295"/>
      <c r="BJ709" s="327"/>
      <c r="BK709" s="327"/>
      <c r="BL709" s="320"/>
      <c r="BM709" s="5"/>
      <c r="BN709" s="10"/>
      <c r="BO709" s="8"/>
      <c r="BP709" s="5"/>
      <c r="BQ709" s="10"/>
      <c r="BR709" s="29">
        <v>2011</v>
      </c>
      <c r="BS709" s="64">
        <v>2011</v>
      </c>
      <c r="BT709" s="14">
        <v>10</v>
      </c>
      <c r="BU709" s="10"/>
      <c r="BV709" s="8">
        <v>1</v>
      </c>
      <c r="BW709" s="59">
        <v>1</v>
      </c>
      <c r="BX709" s="59"/>
      <c r="BY709" s="59"/>
      <c r="BZ709" s="59"/>
      <c r="CA709" s="59"/>
      <c r="CB709" s="59"/>
      <c r="CC709" s="221"/>
      <c r="CD709" s="59">
        <v>7</v>
      </c>
      <c r="CE709" s="59">
        <v>2</v>
      </c>
      <c r="CF709" s="221"/>
      <c r="CG709" s="59"/>
      <c r="CH709" s="59"/>
      <c r="CI709" s="59"/>
      <c r="CJ709" s="59">
        <v>2</v>
      </c>
      <c r="CK709" s="59"/>
      <c r="CL709" s="59"/>
      <c r="CM709" s="59"/>
      <c r="CN709" s="59">
        <v>1</v>
      </c>
      <c r="CO709" s="59">
        <v>3</v>
      </c>
      <c r="CP709" s="317"/>
      <c r="CQ709" s="59"/>
      <c r="CR709" s="59"/>
      <c r="CS709" s="59">
        <v>11</v>
      </c>
      <c r="CT709" s="59">
        <v>3</v>
      </c>
      <c r="CU709" s="221"/>
      <c r="CV709" s="59">
        <v>8</v>
      </c>
      <c r="CW709" s="59"/>
      <c r="CX709" s="59"/>
      <c r="CY709" s="59">
        <v>6</v>
      </c>
      <c r="CZ709" s="59"/>
      <c r="DA709" s="59"/>
      <c r="DB709" s="59">
        <v>4</v>
      </c>
      <c r="DC709" s="59"/>
      <c r="DD709" s="59"/>
      <c r="DE709" s="59"/>
      <c r="DF709" s="59"/>
      <c r="DG709" s="59">
        <v>2</v>
      </c>
      <c r="DH709" s="59">
        <v>1</v>
      </c>
      <c r="DI709" s="59">
        <v>2</v>
      </c>
      <c r="DJ709" s="59"/>
      <c r="DK709" s="59"/>
      <c r="DL709" s="221"/>
      <c r="DM709" s="59">
        <v>9</v>
      </c>
      <c r="DN709" s="59">
        <v>2</v>
      </c>
      <c r="DO709" s="59">
        <v>1</v>
      </c>
      <c r="DP709" s="59"/>
      <c r="DQ709" s="59"/>
      <c r="DR709" s="59"/>
      <c r="DS709" s="59"/>
      <c r="DT709" s="59"/>
      <c r="DU709" s="59"/>
      <c r="DV709" s="38">
        <f t="shared" si="338"/>
        <v>66</v>
      </c>
      <c r="DW709" s="14" t="str">
        <f t="shared" si="337"/>
        <v/>
      </c>
      <c r="DY709">
        <f t="shared" si="340"/>
        <v>66</v>
      </c>
      <c r="DZ709" t="str">
        <f t="shared" si="341"/>
        <v/>
      </c>
    </row>
    <row r="710" spans="1:130" customFormat="1">
      <c r="A710" s="210">
        <v>40695</v>
      </c>
      <c r="B710" s="211"/>
      <c r="C710" s="8">
        <v>8</v>
      </c>
      <c r="D710" s="59">
        <v>21</v>
      </c>
      <c r="E710" s="59">
        <v>11</v>
      </c>
      <c r="F710" s="59">
        <v>0</v>
      </c>
      <c r="G710" s="59">
        <v>0</v>
      </c>
      <c r="H710" s="59">
        <v>5</v>
      </c>
      <c r="I710" s="59">
        <v>0</v>
      </c>
      <c r="J710" s="59">
        <v>18</v>
      </c>
      <c r="K710" s="59">
        <v>0</v>
      </c>
      <c r="L710" s="59">
        <v>0</v>
      </c>
      <c r="M710" s="59">
        <v>0</v>
      </c>
      <c r="N710" s="59">
        <v>0</v>
      </c>
      <c r="O710" s="59">
        <v>1</v>
      </c>
      <c r="P710" s="59">
        <v>3</v>
      </c>
      <c r="Q710" s="59">
        <v>0</v>
      </c>
      <c r="R710" s="59">
        <v>0</v>
      </c>
      <c r="S710" s="35">
        <f>SUM(C710:R710)</f>
        <v>67</v>
      </c>
      <c r="T710" s="59"/>
      <c r="U710" s="59">
        <v>17</v>
      </c>
      <c r="V710" s="59">
        <v>15</v>
      </c>
      <c r="W710" s="59">
        <v>0</v>
      </c>
      <c r="X710" s="62">
        <v>0</v>
      </c>
      <c r="Y710" s="10"/>
      <c r="Z710" s="61">
        <v>335038</v>
      </c>
      <c r="AA710" s="101"/>
      <c r="AB710" s="101"/>
      <c r="AC710" s="61">
        <v>1702631</v>
      </c>
      <c r="AD710" s="59"/>
      <c r="AE710" s="35">
        <f t="shared" si="336"/>
        <v>1702631</v>
      </c>
      <c r="AF710" s="10"/>
      <c r="AG710" s="8">
        <v>128</v>
      </c>
      <c r="AH710" s="59">
        <v>34</v>
      </c>
      <c r="AI710" s="59">
        <v>178</v>
      </c>
      <c r="AJ710" s="5"/>
      <c r="AK710" s="10"/>
      <c r="AL710" s="8"/>
      <c r="AM710" s="10"/>
      <c r="AN710" s="35"/>
      <c r="AO710" s="279"/>
      <c r="AP710" s="279"/>
      <c r="AQ710" s="281"/>
      <c r="AR710" s="59">
        <v>150</v>
      </c>
      <c r="AS710" s="59">
        <v>99</v>
      </c>
      <c r="AT710" s="59">
        <v>171</v>
      </c>
      <c r="AU710" s="59">
        <v>20</v>
      </c>
      <c r="AV710" s="62">
        <v>338</v>
      </c>
      <c r="AW710" s="10"/>
      <c r="AX710" s="326">
        <v>40690</v>
      </c>
      <c r="AY710" s="5">
        <v>-5</v>
      </c>
      <c r="AZ710" s="10"/>
      <c r="BA710" s="8">
        <v>1978</v>
      </c>
      <c r="BB710" s="295">
        <v>70077005</v>
      </c>
      <c r="BC710" s="295"/>
      <c r="BD710" s="318"/>
      <c r="BE710" s="295">
        <v>160</v>
      </c>
      <c r="BF710" s="295">
        <v>2</v>
      </c>
      <c r="BG710" s="295">
        <v>0</v>
      </c>
      <c r="BH710" s="30">
        <f>SUM(BE710:BG710)</f>
        <v>162</v>
      </c>
      <c r="BI710" s="295">
        <v>8897557</v>
      </c>
      <c r="BJ710" s="327">
        <v>40704</v>
      </c>
      <c r="BK710" s="327">
        <v>40723</v>
      </c>
      <c r="BL710" s="320">
        <f>BK710-BJ710</f>
        <v>19</v>
      </c>
      <c r="BM710" s="5"/>
      <c r="BN710" s="10"/>
      <c r="BO710" s="8"/>
      <c r="BP710" s="5">
        <v>167</v>
      </c>
      <c r="BQ710" s="10"/>
      <c r="BR710" s="29">
        <v>2011</v>
      </c>
      <c r="BS710" s="64">
        <v>2011</v>
      </c>
      <c r="BT710" s="14">
        <v>11</v>
      </c>
      <c r="BU710" s="10"/>
      <c r="BV710" s="8">
        <v>8</v>
      </c>
      <c r="BW710" s="10"/>
      <c r="BX710" s="59">
        <v>11</v>
      </c>
      <c r="BY710" s="10"/>
      <c r="BZ710" s="10"/>
      <c r="CA710" s="10"/>
      <c r="CB710" s="10"/>
      <c r="CC710" s="221"/>
      <c r="CD710" s="59">
        <v>1</v>
      </c>
      <c r="CE710" s="59">
        <v>1</v>
      </c>
      <c r="CF710" s="221"/>
      <c r="CG710" s="10">
        <v>3</v>
      </c>
      <c r="CH710" s="10"/>
      <c r="CI710" s="59">
        <v>24</v>
      </c>
      <c r="CJ710" s="59">
        <v>1</v>
      </c>
      <c r="CK710" s="59"/>
      <c r="CL710" s="10"/>
      <c r="CM710" s="10"/>
      <c r="CN710" s="10"/>
      <c r="CO710" s="10"/>
      <c r="CP710" s="317"/>
      <c r="CQ710" s="10"/>
      <c r="CR710" s="10"/>
      <c r="CS710" s="10"/>
      <c r="CT710" s="59">
        <v>2</v>
      </c>
      <c r="CU710" s="221"/>
      <c r="CV710" s="10"/>
      <c r="CW710" s="10"/>
      <c r="CX710" s="10"/>
      <c r="CY710" s="10"/>
      <c r="CZ710" s="10">
        <v>1</v>
      </c>
      <c r="DA710" s="10"/>
      <c r="DB710" s="59">
        <v>2</v>
      </c>
      <c r="DC710" s="10"/>
      <c r="DD710" s="10"/>
      <c r="DE710" s="10"/>
      <c r="DF710" s="10"/>
      <c r="DG710" s="59">
        <v>8</v>
      </c>
      <c r="DH710" s="10"/>
      <c r="DI710" s="10">
        <v>2</v>
      </c>
      <c r="DJ710" s="10"/>
      <c r="DK710" s="10"/>
      <c r="DL710" s="221"/>
      <c r="DM710" s="10"/>
      <c r="DN710" s="10"/>
      <c r="DO710" s="10"/>
      <c r="DP710" s="10">
        <v>1</v>
      </c>
      <c r="DQ710" s="10"/>
      <c r="DR710" s="10"/>
      <c r="DS710" s="59">
        <v>2</v>
      </c>
      <c r="DT710" s="10"/>
      <c r="DU710" s="10"/>
      <c r="DV710" s="38">
        <f t="shared" si="338"/>
        <v>67</v>
      </c>
      <c r="DW710" s="14" t="str">
        <f t="shared" si="337"/>
        <v/>
      </c>
      <c r="DY710">
        <f t="shared" si="340"/>
        <v>67</v>
      </c>
      <c r="DZ710" t="str">
        <f t="shared" si="341"/>
        <v/>
      </c>
    </row>
    <row r="711" spans="1:130" customFormat="1">
      <c r="A711" s="210">
        <v>40709</v>
      </c>
      <c r="B711" s="211"/>
      <c r="C711" s="8">
        <v>1</v>
      </c>
      <c r="D711" s="59">
        <v>36</v>
      </c>
      <c r="E711" s="59">
        <v>5</v>
      </c>
      <c r="F711" s="59">
        <v>0</v>
      </c>
      <c r="G711" s="59">
        <v>0</v>
      </c>
      <c r="H711" s="59">
        <v>0</v>
      </c>
      <c r="I711" s="59">
        <v>0</v>
      </c>
      <c r="J711" s="59">
        <v>0</v>
      </c>
      <c r="K711" s="59">
        <v>0</v>
      </c>
      <c r="L711" s="59">
        <v>0</v>
      </c>
      <c r="M711" s="59">
        <v>0</v>
      </c>
      <c r="N711" s="59">
        <v>0</v>
      </c>
      <c r="O711" s="59">
        <v>22</v>
      </c>
      <c r="P711" s="59">
        <v>1</v>
      </c>
      <c r="Q711" s="59">
        <v>0</v>
      </c>
      <c r="R711" s="59">
        <v>0</v>
      </c>
      <c r="S711" s="35">
        <f>SUM(C711:R711)</f>
        <v>65</v>
      </c>
      <c r="T711" s="59"/>
      <c r="U711" s="59">
        <v>41</v>
      </c>
      <c r="V711" s="59">
        <v>27</v>
      </c>
      <c r="W711" s="59">
        <v>0</v>
      </c>
      <c r="X711" s="5">
        <v>0</v>
      </c>
      <c r="Y711" s="10"/>
      <c r="Z711" s="61">
        <v>286698</v>
      </c>
      <c r="AA711" s="101"/>
      <c r="AB711" s="101"/>
      <c r="AC711" s="61">
        <v>1651588</v>
      </c>
      <c r="AD711" s="59"/>
      <c r="AE711" s="35">
        <f t="shared" si="336"/>
        <v>1651588</v>
      </c>
      <c r="AF711" s="10"/>
      <c r="AG711" s="8">
        <v>75</v>
      </c>
      <c r="AH711" s="59">
        <v>35</v>
      </c>
      <c r="AI711" s="59">
        <v>128</v>
      </c>
      <c r="AJ711" s="5"/>
      <c r="AK711" s="10"/>
      <c r="AL711" s="8"/>
      <c r="AM711" s="10"/>
      <c r="AN711" s="35"/>
      <c r="AO711" s="279"/>
      <c r="AP711" s="279"/>
      <c r="AQ711" s="281"/>
      <c r="AR711" s="59">
        <v>148</v>
      </c>
      <c r="AS711" s="59"/>
      <c r="AT711" s="59"/>
      <c r="AU711" s="59"/>
      <c r="AV711" s="62"/>
      <c r="AW711" s="10"/>
      <c r="AX711" s="326">
        <v>40707</v>
      </c>
      <c r="AY711" s="5">
        <v>-2</v>
      </c>
      <c r="AZ711" s="10"/>
      <c r="BA711" s="8"/>
      <c r="BB711" s="10"/>
      <c r="BC711" s="10"/>
      <c r="BD711" s="10"/>
      <c r="BE711" s="10"/>
      <c r="BF711" s="10"/>
      <c r="BG711" s="10"/>
      <c r="BH711" s="30"/>
      <c r="BI711" s="10"/>
      <c r="BJ711" s="338"/>
      <c r="BK711" s="338"/>
      <c r="BL711" s="320"/>
      <c r="BM711" s="5"/>
      <c r="BN711" s="10"/>
      <c r="BO711" s="8"/>
      <c r="BP711" s="5"/>
      <c r="BQ711" s="10"/>
      <c r="BR711" s="29">
        <v>2011</v>
      </c>
      <c r="BS711" s="64">
        <v>2011</v>
      </c>
      <c r="BT711" s="14">
        <v>12</v>
      </c>
      <c r="BU711" s="10"/>
      <c r="BV711" s="8">
        <v>1</v>
      </c>
      <c r="BW711" s="10"/>
      <c r="BX711" s="10"/>
      <c r="BY711" s="10"/>
      <c r="BZ711" s="10"/>
      <c r="CA711" s="10"/>
      <c r="CB711" s="10"/>
      <c r="CC711" s="221"/>
      <c r="CD711" s="59">
        <v>4</v>
      </c>
      <c r="CE711" s="10"/>
      <c r="CF711" s="221"/>
      <c r="CG711" s="10">
        <v>27</v>
      </c>
      <c r="CH711" s="10"/>
      <c r="CI711" s="10"/>
      <c r="CJ711" s="59">
        <v>1</v>
      </c>
      <c r="CK711" s="59"/>
      <c r="CL711" s="10"/>
      <c r="CM711" s="10"/>
      <c r="CN711" s="10">
        <v>2</v>
      </c>
      <c r="CO711" s="59">
        <v>3</v>
      </c>
      <c r="CP711" s="317"/>
      <c r="CQ711" s="10"/>
      <c r="CR711" s="10"/>
      <c r="CS711" s="10"/>
      <c r="CT711" s="10"/>
      <c r="CU711" s="221"/>
      <c r="CV711" s="59">
        <v>3</v>
      </c>
      <c r="CW711" s="10"/>
      <c r="CX711" s="10"/>
      <c r="CY711" s="10"/>
      <c r="CZ711" s="10"/>
      <c r="DA711" s="10"/>
      <c r="DB711" s="59">
        <v>5</v>
      </c>
      <c r="DC711" s="10">
        <v>1</v>
      </c>
      <c r="DD711" s="10"/>
      <c r="DE711" s="10"/>
      <c r="DF711" s="10"/>
      <c r="DG711" s="59">
        <v>1</v>
      </c>
      <c r="DH711" s="10"/>
      <c r="DI711" s="10"/>
      <c r="DJ711" s="10"/>
      <c r="DK711" s="10"/>
      <c r="DL711" s="221"/>
      <c r="DM711" s="59">
        <v>14</v>
      </c>
      <c r="DN711" s="10"/>
      <c r="DO711" s="10"/>
      <c r="DP711" s="10"/>
      <c r="DQ711" s="10"/>
      <c r="DR711" s="10"/>
      <c r="DS711" s="59">
        <v>3</v>
      </c>
      <c r="DT711" s="10"/>
      <c r="DU711" s="10"/>
      <c r="DV711" s="38">
        <f t="shared" si="338"/>
        <v>65</v>
      </c>
      <c r="DW711" s="14" t="str">
        <f t="shared" si="337"/>
        <v/>
      </c>
      <c r="DY711">
        <f t="shared" si="340"/>
        <v>65</v>
      </c>
      <c r="DZ711" t="str">
        <f t="shared" si="341"/>
        <v/>
      </c>
    </row>
    <row r="712" spans="1:130" s="6" customFormat="1" ht="12" thickBot="1">
      <c r="A712" s="212" t="s">
        <v>257</v>
      </c>
      <c r="B712" s="83"/>
      <c r="C712" s="52">
        <f t="shared" ref="C712:X712" si="342">SUM(C688:C711)</f>
        <v>53</v>
      </c>
      <c r="D712" s="53">
        <f t="shared" si="342"/>
        <v>463</v>
      </c>
      <c r="E712" s="53">
        <f t="shared" si="342"/>
        <v>39</v>
      </c>
      <c r="F712" s="53">
        <f t="shared" si="342"/>
        <v>12</v>
      </c>
      <c r="G712" s="53">
        <f t="shared" si="342"/>
        <v>8</v>
      </c>
      <c r="H712" s="53">
        <f t="shared" si="342"/>
        <v>17</v>
      </c>
      <c r="I712" s="53">
        <f>SUM(I688:I711)</f>
        <v>1</v>
      </c>
      <c r="J712" s="53">
        <f t="shared" si="342"/>
        <v>267</v>
      </c>
      <c r="K712" s="53">
        <f t="shared" si="342"/>
        <v>0</v>
      </c>
      <c r="L712" s="53">
        <f t="shared" si="342"/>
        <v>4</v>
      </c>
      <c r="M712" s="53">
        <f t="shared" ref="M712:P712" si="343">SUM(M688:M711)</f>
        <v>2</v>
      </c>
      <c r="N712" s="53">
        <f t="shared" si="343"/>
        <v>0</v>
      </c>
      <c r="O712" s="53">
        <f>SUM(O688:O711)</f>
        <v>321</v>
      </c>
      <c r="P712" s="53">
        <f t="shared" si="343"/>
        <v>26</v>
      </c>
      <c r="Q712" s="53">
        <f t="shared" si="342"/>
        <v>1</v>
      </c>
      <c r="R712" s="53">
        <f t="shared" si="342"/>
        <v>0</v>
      </c>
      <c r="S712" s="55">
        <f t="shared" si="342"/>
        <v>1214</v>
      </c>
      <c r="T712" s="53">
        <f t="shared" si="342"/>
        <v>0</v>
      </c>
      <c r="U712" s="53">
        <f t="shared" si="342"/>
        <v>354</v>
      </c>
      <c r="V712" s="53">
        <f t="shared" ref="V712" si="344">SUM(V688:V711)</f>
        <v>292</v>
      </c>
      <c r="W712" s="53">
        <f t="shared" si="342"/>
        <v>0</v>
      </c>
      <c r="X712" s="54">
        <f t="shared" si="342"/>
        <v>4</v>
      </c>
      <c r="Z712" s="52">
        <f>SUM(Z688:Z711)</f>
        <v>8738088</v>
      </c>
      <c r="AA712" s="53">
        <f>SUM(AA688:AA711)</f>
        <v>0</v>
      </c>
      <c r="AB712" s="53"/>
      <c r="AC712" s="52">
        <f>SUM(AC688:AC711)</f>
        <v>29147228</v>
      </c>
      <c r="AD712" s="53">
        <f>SUM(AD688:AD711)</f>
        <v>0</v>
      </c>
      <c r="AE712" s="55">
        <f>SUM(AE688:AE711)</f>
        <v>29147228</v>
      </c>
      <c r="AG712" s="52">
        <f>SUM(AG688:AG711)</f>
        <v>1993</v>
      </c>
      <c r="AH712" s="53">
        <f>SUM(AH688:AH711)</f>
        <v>1228</v>
      </c>
      <c r="AI712" s="53">
        <f>SUM(AI688:AI711)</f>
        <v>3580</v>
      </c>
      <c r="AJ712" s="54">
        <f>SUM(AJ688:AJ711)</f>
        <v>0</v>
      </c>
      <c r="AL712" s="52">
        <f t="shared" ref="AL712:AV712" si="345">SUM(AL688:AL711)</f>
        <v>0</v>
      </c>
      <c r="AM712" s="53">
        <f t="shared" si="345"/>
        <v>146</v>
      </c>
      <c r="AN712" s="55">
        <f t="shared" si="345"/>
        <v>146</v>
      </c>
      <c r="AO712" s="283"/>
      <c r="AP712" s="283"/>
      <c r="AQ712" s="284"/>
      <c r="AR712" s="53">
        <f t="shared" si="345"/>
        <v>3528</v>
      </c>
      <c r="AS712" s="53">
        <f t="shared" si="345"/>
        <v>1567</v>
      </c>
      <c r="AT712" s="53">
        <f t="shared" si="345"/>
        <v>2640</v>
      </c>
      <c r="AU712" s="53">
        <f t="shared" si="345"/>
        <v>290</v>
      </c>
      <c r="AV712" s="54">
        <f t="shared" si="345"/>
        <v>5273</v>
      </c>
      <c r="AX712" s="329"/>
      <c r="AY712" s="54"/>
      <c r="BA712" s="52">
        <f t="shared" ref="BA712:BM712" si="346">SUM(BA688:BA711)</f>
        <v>23683</v>
      </c>
      <c r="BB712" s="53">
        <f t="shared" si="346"/>
        <v>789783137</v>
      </c>
      <c r="BC712" s="53">
        <f t="shared" si="346"/>
        <v>0</v>
      </c>
      <c r="BD712" s="53"/>
      <c r="BE712" s="53">
        <f t="shared" si="346"/>
        <v>939</v>
      </c>
      <c r="BF712" s="53">
        <f t="shared" si="346"/>
        <v>45</v>
      </c>
      <c r="BG712" s="53">
        <f t="shared" si="346"/>
        <v>34</v>
      </c>
      <c r="BH712" s="55"/>
      <c r="BI712" s="53">
        <f t="shared" si="346"/>
        <v>48171083</v>
      </c>
      <c r="BJ712" s="339"/>
      <c r="BK712" s="339"/>
      <c r="BL712" s="304"/>
      <c r="BM712" s="54">
        <f t="shared" si="346"/>
        <v>0</v>
      </c>
      <c r="BO712" s="52">
        <f>SUM(BO688:BO711)</f>
        <v>0</v>
      </c>
      <c r="BP712" s="54">
        <f>SUM(BP688:BP711)</f>
        <v>1993</v>
      </c>
      <c r="BR712" s="81" t="s">
        <v>274</v>
      </c>
      <c r="BS712" s="80"/>
      <c r="BT712" s="82"/>
      <c r="BV712" s="52">
        <f t="shared" ref="BV712:BW712" si="347">SUM(BV688:BV711)</f>
        <v>31</v>
      </c>
      <c r="BW712" s="53">
        <f t="shared" si="347"/>
        <v>43</v>
      </c>
      <c r="BX712" s="53">
        <f t="shared" ref="BX712:DU712" si="348">SUM(BX688:BX711)</f>
        <v>21</v>
      </c>
      <c r="BY712" s="53">
        <f t="shared" si="348"/>
        <v>0</v>
      </c>
      <c r="BZ712" s="53">
        <f t="shared" si="348"/>
        <v>0</v>
      </c>
      <c r="CA712" s="53">
        <f t="shared" si="348"/>
        <v>9</v>
      </c>
      <c r="CB712" s="53">
        <f t="shared" si="348"/>
        <v>1</v>
      </c>
      <c r="CC712" s="53">
        <f t="shared" si="348"/>
        <v>0</v>
      </c>
      <c r="CD712" s="53">
        <f t="shared" si="348"/>
        <v>119</v>
      </c>
      <c r="CE712" s="53">
        <f t="shared" si="348"/>
        <v>11</v>
      </c>
      <c r="CF712" s="53">
        <f t="shared" si="348"/>
        <v>0</v>
      </c>
      <c r="CG712" s="53">
        <f t="shared" si="348"/>
        <v>39</v>
      </c>
      <c r="CH712" s="53">
        <f t="shared" si="348"/>
        <v>0</v>
      </c>
      <c r="CI712" s="53">
        <f t="shared" si="348"/>
        <v>90</v>
      </c>
      <c r="CJ712" s="53">
        <f t="shared" si="348"/>
        <v>82</v>
      </c>
      <c r="CK712" s="53">
        <f t="shared" si="348"/>
        <v>0</v>
      </c>
      <c r="CL712" s="53">
        <f t="shared" si="348"/>
        <v>9</v>
      </c>
      <c r="CM712" s="53">
        <f t="shared" si="348"/>
        <v>3</v>
      </c>
      <c r="CN712" s="53">
        <f t="shared" si="348"/>
        <v>20</v>
      </c>
      <c r="CO712" s="53">
        <f t="shared" si="348"/>
        <v>191</v>
      </c>
      <c r="CP712" s="53">
        <f t="shared" si="348"/>
        <v>0</v>
      </c>
      <c r="CQ712" s="53">
        <f t="shared" si="348"/>
        <v>1</v>
      </c>
      <c r="CR712" s="53">
        <f t="shared" si="348"/>
        <v>0</v>
      </c>
      <c r="CS712" s="53">
        <f t="shared" si="348"/>
        <v>21</v>
      </c>
      <c r="CT712" s="53">
        <f t="shared" si="348"/>
        <v>48</v>
      </c>
      <c r="CU712" s="53">
        <f t="shared" si="348"/>
        <v>0</v>
      </c>
      <c r="CV712" s="53">
        <f t="shared" si="348"/>
        <v>54</v>
      </c>
      <c r="CW712" s="53">
        <f t="shared" si="348"/>
        <v>2</v>
      </c>
      <c r="CX712" s="53">
        <f t="shared" si="348"/>
        <v>2</v>
      </c>
      <c r="CY712" s="53">
        <f t="shared" si="348"/>
        <v>18</v>
      </c>
      <c r="CZ712" s="53">
        <f t="shared" si="348"/>
        <v>4</v>
      </c>
      <c r="DA712" s="53">
        <f t="shared" si="348"/>
        <v>9</v>
      </c>
      <c r="DB712" s="53">
        <f t="shared" si="348"/>
        <v>160</v>
      </c>
      <c r="DC712" s="53">
        <f t="shared" si="348"/>
        <v>3</v>
      </c>
      <c r="DD712" s="53">
        <f t="shared" si="348"/>
        <v>0</v>
      </c>
      <c r="DE712" s="53">
        <f t="shared" si="348"/>
        <v>0</v>
      </c>
      <c r="DF712" s="53">
        <f t="shared" si="348"/>
        <v>0</v>
      </c>
      <c r="DG712" s="53">
        <f t="shared" si="348"/>
        <v>60</v>
      </c>
      <c r="DH712" s="53">
        <f t="shared" si="348"/>
        <v>8</v>
      </c>
      <c r="DI712" s="53">
        <f t="shared" si="348"/>
        <v>8</v>
      </c>
      <c r="DJ712" s="53">
        <f t="shared" si="348"/>
        <v>14</v>
      </c>
      <c r="DK712" s="53">
        <f t="shared" si="348"/>
        <v>0</v>
      </c>
      <c r="DL712" s="53">
        <f t="shared" si="348"/>
        <v>0</v>
      </c>
      <c r="DM712" s="53">
        <f t="shared" si="348"/>
        <v>56</v>
      </c>
      <c r="DN712" s="53">
        <f t="shared" si="348"/>
        <v>15</v>
      </c>
      <c r="DO712" s="53">
        <f t="shared" si="348"/>
        <v>24</v>
      </c>
      <c r="DP712" s="53">
        <f t="shared" si="348"/>
        <v>3</v>
      </c>
      <c r="DQ712" s="53">
        <f t="shared" si="348"/>
        <v>0</v>
      </c>
      <c r="DR712" s="53">
        <f t="shared" si="348"/>
        <v>0</v>
      </c>
      <c r="DS712" s="53">
        <f t="shared" si="348"/>
        <v>35</v>
      </c>
      <c r="DT712" s="53">
        <f t="shared" si="348"/>
        <v>0</v>
      </c>
      <c r="DU712" s="53">
        <f t="shared" si="348"/>
        <v>0</v>
      </c>
      <c r="DV712" s="54">
        <f t="shared" si="338"/>
        <v>1214</v>
      </c>
      <c r="DW712" s="48"/>
    </row>
    <row r="713" spans="1:130" s="6" customFormat="1" ht="12" thickTop="1">
      <c r="A713" s="213" t="s">
        <v>258</v>
      </c>
      <c r="B713" s="24"/>
      <c r="C713" s="39">
        <f t="shared" ref="C713:R713" si="349">ROUND(IF(ISERROR(AVERAGE(C688:C711)),0,AVERAGE(C688:C711)),0)</f>
        <v>2</v>
      </c>
      <c r="D713" s="24">
        <f t="shared" si="349"/>
        <v>19</v>
      </c>
      <c r="E713" s="24">
        <f t="shared" si="349"/>
        <v>2</v>
      </c>
      <c r="F713" s="24">
        <f t="shared" si="349"/>
        <v>1</v>
      </c>
      <c r="G713" s="24">
        <f t="shared" si="349"/>
        <v>0</v>
      </c>
      <c r="H713" s="24">
        <f t="shared" si="349"/>
        <v>1</v>
      </c>
      <c r="I713" s="24">
        <f>ROUND(IF(ISERROR(AVERAGE(I688:I711)),0,AVERAGE(I688:I711)),0)</f>
        <v>0</v>
      </c>
      <c r="J713" s="24">
        <f t="shared" si="349"/>
        <v>11</v>
      </c>
      <c r="K713" s="24">
        <f t="shared" si="349"/>
        <v>0</v>
      </c>
      <c r="L713" s="24">
        <f t="shared" si="349"/>
        <v>0</v>
      </c>
      <c r="M713" s="24">
        <f t="shared" ref="M713:P713" si="350">ROUND(IF(ISERROR(AVERAGE(M688:M711)),0,AVERAGE(M688:M711)),0)</f>
        <v>0</v>
      </c>
      <c r="N713" s="24">
        <f t="shared" si="350"/>
        <v>0</v>
      </c>
      <c r="O713" s="24">
        <f>ROUND(IF(ISERROR(AVERAGE(O688:O711)),0,AVERAGE(O688:O711)),0)</f>
        <v>13</v>
      </c>
      <c r="P713" s="24">
        <f t="shared" si="350"/>
        <v>1</v>
      </c>
      <c r="Q713" s="24">
        <f t="shared" si="349"/>
        <v>0</v>
      </c>
      <c r="R713" s="24">
        <f t="shared" si="349"/>
        <v>0</v>
      </c>
      <c r="S713" s="31">
        <f>SUM(C713:R713)</f>
        <v>50</v>
      </c>
      <c r="T713" s="24">
        <f>ROUND(IF(ISERROR(AVERAGE(T688:T711)),0,AVERAGE(T688:T711)),0)</f>
        <v>0</v>
      </c>
      <c r="U713" s="24">
        <f>ROUND(IF(ISERROR(AVERAGE(U688:U711)),0,AVERAGE(U688:U711)),0)</f>
        <v>15</v>
      </c>
      <c r="V713" s="24">
        <f>ROUND(IF(ISERROR(AVERAGE(V688:V711)),0,AVERAGE(V688:V711)),0)</f>
        <v>12</v>
      </c>
      <c r="W713" s="24">
        <f>ROUND(IF(ISERROR(AVERAGE(W688:W711)),0,AVERAGE(W688:W711)),0)</f>
        <v>0</v>
      </c>
      <c r="X713" s="40">
        <f>ROUND(IF(ISERROR(AVERAGE(X688:X711)),0,AVERAGE(X688:X711)),0)</f>
        <v>0</v>
      </c>
      <c r="Z713" s="39">
        <f>ROUND(IF(ISERROR(AVERAGE(Z688:Z711)),0,AVERAGE(Z688:Z711)),0)</f>
        <v>364087</v>
      </c>
      <c r="AA713" s="24">
        <f>ROUND(IF(ISERROR(AVERAGE(AA688:AA711)),0,AVERAGE(AA688:AA711)),0)</f>
        <v>0</v>
      </c>
      <c r="AB713" s="24"/>
      <c r="AC713" s="39">
        <f>ROUND(IF(ISERROR(AVERAGE(AC688:AC711)),0,AVERAGE(AC688:AC711)),0)</f>
        <v>1214468</v>
      </c>
      <c r="AD713" s="24">
        <f>ROUND(IF(ISERROR(AVERAGE(AD688:AD711)),0,AVERAGE(AD688:AD711)),0)</f>
        <v>0</v>
      </c>
      <c r="AE713" s="31">
        <f>SUM(AC713:AD713)</f>
        <v>1214468</v>
      </c>
      <c r="AG713" s="39">
        <f>ROUND(IF(ISERROR(AVERAGE(AG688:AG711)),0,AVERAGE(AG688:AG711)),0)</f>
        <v>83</v>
      </c>
      <c r="AH713" s="24">
        <f>ROUND(IF(ISERROR(AVERAGE(AH688:AH711)),0,AVERAGE(AH688:AH711)),0)</f>
        <v>51</v>
      </c>
      <c r="AI713" s="24">
        <f>ROUND(IF(ISERROR(AVERAGE(AI688:AI711)),0,AVERAGE(AI688:AI711)),0)</f>
        <v>149</v>
      </c>
      <c r="AJ713" s="40">
        <f>ROUND(IF(ISERROR(AVERAGE(AJ688:AJ711)),0,AVERAGE(AJ688:AJ711)),0)</f>
        <v>0</v>
      </c>
      <c r="AL713" s="39">
        <f>ROUND(IF(ISERROR(AVERAGE(AL688:AL711)),0,AVERAGE(AL688:AL711)),0)</f>
        <v>0</v>
      </c>
      <c r="AM713" s="24">
        <f>ROUND(IF(ISERROR(AVERAGE(AM688:AM711)),0,AVERAGE(AM688:AM711)),0)</f>
        <v>37</v>
      </c>
      <c r="AN713" s="31">
        <f>SUM(AL713:AM713)</f>
        <v>37</v>
      </c>
      <c r="AO713" s="285"/>
      <c r="AP713" s="285"/>
      <c r="AQ713" s="281"/>
      <c r="AR713" s="24">
        <f>ROUND(IF(ISERROR(AVERAGE(AR688:AR711)),0,AVERAGE(AR688:AR711)),0)</f>
        <v>147</v>
      </c>
      <c r="AS713" s="24">
        <f>ROUND(IF(ISERROR(AVERAGE(AS688:AS711)),0,AVERAGE(AS688:AS711)),0)</f>
        <v>98</v>
      </c>
      <c r="AT713" s="24">
        <f>ROUND(IF(ISERROR(AVERAGE(AT688:AT711)),0,AVERAGE(AT688:AT711)),0)</f>
        <v>165</v>
      </c>
      <c r="AU713" s="24">
        <f>ROUND(IF(ISERROR(AVERAGE(AU688:AU711)),0,AVERAGE(AU688:AU711)),0)</f>
        <v>18</v>
      </c>
      <c r="AV713" s="40">
        <f>ROUND(IF(ISERROR(AVERAGE(AV688:AV711)),0,AVERAGE(AV688:AV711)),0)</f>
        <v>330</v>
      </c>
      <c r="AX713" s="330"/>
      <c r="AY713" s="40">
        <f>ROUND(IF(ISERROR(AVERAGE(AY688:AY711)),0,AVERAGE(AY688:AY711)),0)</f>
        <v>-3</v>
      </c>
      <c r="BA713" s="39">
        <f t="shared" ref="BA713:BM713" si="351">ROUND(IF(ISERROR(AVERAGE(BA688:BA711)),0,AVERAGE(BA688:BA711)),0)</f>
        <v>1974</v>
      </c>
      <c r="BB713" s="24">
        <f t="shared" si="351"/>
        <v>65815261</v>
      </c>
      <c r="BC713" s="24">
        <f t="shared" si="351"/>
        <v>0</v>
      </c>
      <c r="BD713" s="24"/>
      <c r="BE713" s="24">
        <f t="shared" si="351"/>
        <v>78</v>
      </c>
      <c r="BF713" s="24">
        <f t="shared" si="351"/>
        <v>4</v>
      </c>
      <c r="BG713" s="24">
        <f t="shared" si="351"/>
        <v>3</v>
      </c>
      <c r="BH713" s="31"/>
      <c r="BI713" s="24">
        <f t="shared" si="351"/>
        <v>4014257</v>
      </c>
      <c r="BJ713" s="340"/>
      <c r="BK713" s="340"/>
      <c r="BL713" s="305">
        <f>AVERAGE(BL688:BL711)</f>
        <v>1.75</v>
      </c>
      <c r="BM713" s="40">
        <f t="shared" si="351"/>
        <v>0</v>
      </c>
      <c r="BO713" s="39">
        <f>ROUND(IF(ISERROR(AVERAGE(BO688:BO711)),0,AVERAGE(BO688:BO711)),0)</f>
        <v>0</v>
      </c>
      <c r="BP713" s="40">
        <f>ROUND(IF(ISERROR(AVERAGE(BP688:BP711)),0,AVERAGE(BP688:BP711)),0)</f>
        <v>166</v>
      </c>
      <c r="BR713" s="65" t="s">
        <v>275</v>
      </c>
      <c r="BS713" s="19"/>
      <c r="BT713" s="14"/>
      <c r="BV713" s="39">
        <f t="shared" ref="BV713:BW713" si="352">ROUND(IF(ISERROR(AVERAGE(BV688:BV711)),0,AVERAGE(BV688:BV711)),0)</f>
        <v>3</v>
      </c>
      <c r="BW713" s="24">
        <f t="shared" si="352"/>
        <v>4</v>
      </c>
      <c r="BX713" s="24">
        <f t="shared" ref="BX713:DU713" si="353">ROUND(IF(ISERROR(AVERAGE(BX688:BX711)),0,AVERAGE(BX688:BX711)),0)</f>
        <v>4</v>
      </c>
      <c r="BY713" s="24">
        <f t="shared" si="353"/>
        <v>0</v>
      </c>
      <c r="BZ713" s="24">
        <f t="shared" si="353"/>
        <v>0</v>
      </c>
      <c r="CA713" s="24">
        <f t="shared" si="353"/>
        <v>3</v>
      </c>
      <c r="CB713" s="24">
        <f t="shared" si="353"/>
        <v>1</v>
      </c>
      <c r="CC713" s="24">
        <f t="shared" si="353"/>
        <v>0</v>
      </c>
      <c r="CD713" s="24">
        <f t="shared" si="353"/>
        <v>5</v>
      </c>
      <c r="CE713" s="24">
        <f t="shared" si="353"/>
        <v>1</v>
      </c>
      <c r="CF713" s="24">
        <f t="shared" si="353"/>
        <v>0</v>
      </c>
      <c r="CG713" s="24">
        <f t="shared" si="353"/>
        <v>8</v>
      </c>
      <c r="CH713" s="24">
        <f t="shared" si="353"/>
        <v>0</v>
      </c>
      <c r="CI713" s="24">
        <f t="shared" si="353"/>
        <v>6</v>
      </c>
      <c r="CJ713" s="24">
        <f t="shared" si="353"/>
        <v>4</v>
      </c>
      <c r="CK713" s="24">
        <f t="shared" si="353"/>
        <v>0</v>
      </c>
      <c r="CL713" s="24">
        <f t="shared" si="353"/>
        <v>3</v>
      </c>
      <c r="CM713" s="24">
        <f t="shared" si="353"/>
        <v>3</v>
      </c>
      <c r="CN713" s="24">
        <f t="shared" si="353"/>
        <v>2</v>
      </c>
      <c r="CO713" s="24">
        <f t="shared" si="353"/>
        <v>10</v>
      </c>
      <c r="CP713" s="24">
        <f t="shared" si="353"/>
        <v>0</v>
      </c>
      <c r="CQ713" s="24">
        <f t="shared" si="353"/>
        <v>1</v>
      </c>
      <c r="CR713" s="24">
        <f t="shared" si="353"/>
        <v>0</v>
      </c>
      <c r="CS713" s="24">
        <f t="shared" si="353"/>
        <v>5</v>
      </c>
      <c r="CT713" s="24">
        <f t="shared" si="353"/>
        <v>3</v>
      </c>
      <c r="CU713" s="24">
        <f t="shared" si="353"/>
        <v>0</v>
      </c>
      <c r="CV713" s="24">
        <f t="shared" si="353"/>
        <v>3</v>
      </c>
      <c r="CW713" s="24">
        <f t="shared" si="353"/>
        <v>2</v>
      </c>
      <c r="CX713" s="24">
        <f t="shared" si="353"/>
        <v>2</v>
      </c>
      <c r="CY713" s="24">
        <f t="shared" si="353"/>
        <v>2</v>
      </c>
      <c r="CZ713" s="24">
        <f t="shared" si="353"/>
        <v>1</v>
      </c>
      <c r="DA713" s="24">
        <f t="shared" si="353"/>
        <v>2</v>
      </c>
      <c r="DB713" s="24">
        <f t="shared" si="353"/>
        <v>9</v>
      </c>
      <c r="DC713" s="24">
        <f t="shared" si="353"/>
        <v>2</v>
      </c>
      <c r="DD713" s="24">
        <f t="shared" si="353"/>
        <v>0</v>
      </c>
      <c r="DE713" s="24">
        <f t="shared" si="353"/>
        <v>0</v>
      </c>
      <c r="DF713" s="24">
        <f t="shared" si="353"/>
        <v>0</v>
      </c>
      <c r="DG713" s="24">
        <f t="shared" si="353"/>
        <v>3</v>
      </c>
      <c r="DH713" s="24">
        <f t="shared" si="353"/>
        <v>2</v>
      </c>
      <c r="DI713" s="24">
        <f t="shared" si="353"/>
        <v>1</v>
      </c>
      <c r="DJ713" s="24">
        <f t="shared" si="353"/>
        <v>3</v>
      </c>
      <c r="DK713" s="24">
        <f t="shared" si="353"/>
        <v>0</v>
      </c>
      <c r="DL713" s="24">
        <f t="shared" si="353"/>
        <v>0</v>
      </c>
      <c r="DM713" s="24">
        <f t="shared" si="353"/>
        <v>4</v>
      </c>
      <c r="DN713" s="24">
        <f t="shared" si="353"/>
        <v>3</v>
      </c>
      <c r="DO713" s="24">
        <f t="shared" si="353"/>
        <v>2</v>
      </c>
      <c r="DP713" s="24">
        <f t="shared" si="353"/>
        <v>2</v>
      </c>
      <c r="DQ713" s="24">
        <f t="shared" si="353"/>
        <v>0</v>
      </c>
      <c r="DR713" s="24">
        <f t="shared" si="353"/>
        <v>0</v>
      </c>
      <c r="DS713" s="24">
        <f t="shared" si="353"/>
        <v>2</v>
      </c>
      <c r="DT713" s="24">
        <f t="shared" si="353"/>
        <v>0</v>
      </c>
      <c r="DU713" s="24">
        <f t="shared" si="353"/>
        <v>0</v>
      </c>
      <c r="DV713" s="18"/>
      <c r="DW713" s="48"/>
    </row>
    <row r="714" spans="1:130" customFormat="1">
      <c r="A714" s="210" t="s">
        <v>259</v>
      </c>
      <c r="B714" s="211"/>
      <c r="C714" s="8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30">
        <f>MEDIAN(S688:S711)</f>
        <v>39.5</v>
      </c>
      <c r="T714" s="10"/>
      <c r="U714" s="10"/>
      <c r="V714" s="105"/>
      <c r="W714" s="10"/>
      <c r="X714" s="5"/>
      <c r="Y714" s="10"/>
      <c r="Z714" s="8"/>
      <c r="AA714" s="10" t="str">
        <f>IF(ISERROR(MEDIAN(AA688:AA711)),"",MEDIAN(AA688:AA711))</f>
        <v/>
      </c>
      <c r="AB714" s="10"/>
      <c r="AC714" s="8"/>
      <c r="AD714" s="10"/>
      <c r="AE714" s="30"/>
      <c r="AF714" s="10"/>
      <c r="AG714" s="8"/>
      <c r="AH714" s="10"/>
      <c r="AI714" s="10">
        <f>IF(ISERROR(MEDIAN(AI688:AI711)),"",MEDIAN(AI688:AI711))</f>
        <v>155</v>
      </c>
      <c r="AJ714" s="5" t="str">
        <f>IF(ISERROR(MEDIAN(AJ688:AJ711)),"",MEDIAN(AJ688:AJ711))</f>
        <v/>
      </c>
      <c r="AK714" s="10"/>
      <c r="AL714" s="8"/>
      <c r="AM714" s="10"/>
      <c r="AN714" s="30"/>
      <c r="AO714" s="10"/>
      <c r="AP714" s="10"/>
      <c r="AQ714" s="30"/>
      <c r="AR714" s="10"/>
      <c r="AS714" s="10"/>
      <c r="AT714" s="10"/>
      <c r="AU714" s="10"/>
      <c r="AV714" s="5"/>
      <c r="AW714" s="10"/>
      <c r="AX714" s="326"/>
      <c r="AY714" s="5"/>
      <c r="AZ714" s="10"/>
      <c r="BA714" s="8">
        <f>IF(ISERROR(MEDIAN(BA688:BA711)),"",MEDIAN(BA688:BA711))</f>
        <v>1974.5</v>
      </c>
      <c r="BB714" s="10"/>
      <c r="BC714" s="10"/>
      <c r="BD714" s="10"/>
      <c r="BE714" s="10"/>
      <c r="BF714" s="10"/>
      <c r="BG714" s="10"/>
      <c r="BH714" s="30"/>
      <c r="BI714" s="10"/>
      <c r="BJ714" s="338"/>
      <c r="BK714" s="338"/>
      <c r="BL714" s="303"/>
      <c r="BM714" s="5"/>
      <c r="BN714" s="10"/>
      <c r="BO714" s="8"/>
      <c r="BP714" s="5"/>
      <c r="BQ714" s="10"/>
      <c r="BR714" s="65"/>
      <c r="BS714" s="19"/>
      <c r="BT714" s="14"/>
      <c r="BU714" s="10"/>
      <c r="BV714" s="8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  <c r="DG714" s="10"/>
      <c r="DH714" s="10"/>
      <c r="DI714" s="10"/>
      <c r="DJ714" s="10"/>
      <c r="DK714" s="10"/>
      <c r="DL714" s="10"/>
      <c r="DM714" s="10"/>
      <c r="DN714" s="10"/>
      <c r="DO714" s="10"/>
      <c r="DP714" s="10"/>
      <c r="DQ714" s="10"/>
      <c r="DR714" s="10"/>
      <c r="DS714" s="10"/>
      <c r="DT714" s="10"/>
      <c r="DU714" s="10"/>
      <c r="DV714" s="5"/>
      <c r="DW714" s="21"/>
    </row>
    <row r="715" spans="1:130" customFormat="1" ht="12" thickBot="1">
      <c r="A715" s="214" t="s">
        <v>260</v>
      </c>
      <c r="B715" s="195"/>
      <c r="C715" s="41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32">
        <f>MODE(S688:S711)</f>
        <v>31</v>
      </c>
      <c r="T715" s="22"/>
      <c r="U715" s="63"/>
      <c r="V715" s="63"/>
      <c r="W715" s="22"/>
      <c r="X715" s="42"/>
      <c r="Y715" s="22"/>
      <c r="Z715" s="41"/>
      <c r="AA715" s="22"/>
      <c r="AB715" s="22"/>
      <c r="AC715" s="41"/>
      <c r="AD715" s="22"/>
      <c r="AE715" s="32"/>
      <c r="AF715" s="22"/>
      <c r="AG715" s="41"/>
      <c r="AH715" s="22"/>
      <c r="AI715" s="22">
        <f>IF(ISERROR(MODE(AI688:AI711)),"",MODE(AI688:AI711))</f>
        <v>156</v>
      </c>
      <c r="AJ715" s="42" t="str">
        <f>IF(ISERROR(MODE(AJ688:AJ711)),"",MODE(AJ688:AJ711))</f>
        <v/>
      </c>
      <c r="AK715" s="22"/>
      <c r="AL715" s="41"/>
      <c r="AM715" s="22"/>
      <c r="AN715" s="32"/>
      <c r="AO715" s="22"/>
      <c r="AP715" s="22"/>
      <c r="AQ715" s="32"/>
      <c r="AR715" s="22"/>
      <c r="AS715" s="22"/>
      <c r="AT715" s="22"/>
      <c r="AU715" s="22"/>
      <c r="AV715" s="42"/>
      <c r="AW715" s="22"/>
      <c r="AX715" s="331"/>
      <c r="AY715" s="42"/>
      <c r="AZ715" s="22"/>
      <c r="BA715" s="41"/>
      <c r="BB715" s="22"/>
      <c r="BC715" s="22"/>
      <c r="BD715" s="22"/>
      <c r="BE715" s="22"/>
      <c r="BF715" s="22"/>
      <c r="BG715" s="22"/>
      <c r="BH715" s="32"/>
      <c r="BI715" s="22"/>
      <c r="BJ715" s="341"/>
      <c r="BK715" s="341"/>
      <c r="BL715" s="306"/>
      <c r="BM715" s="42"/>
      <c r="BN715" s="22"/>
      <c r="BO715" s="41"/>
      <c r="BP715" s="42"/>
      <c r="BQ715" s="22"/>
      <c r="BR715" s="66"/>
      <c r="BS715" s="51"/>
      <c r="BT715" s="67"/>
      <c r="BU715" s="22"/>
      <c r="BV715" s="41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2"/>
      <c r="CP715" s="22"/>
      <c r="CQ715" s="22"/>
      <c r="CR715" s="22"/>
      <c r="CS715" s="22"/>
      <c r="CT715" s="22"/>
      <c r="CU715" s="22"/>
      <c r="CV715" s="22"/>
      <c r="CW715" s="22"/>
      <c r="CX715" s="22"/>
      <c r="CY715" s="22"/>
      <c r="CZ715" s="22"/>
      <c r="DA715" s="22"/>
      <c r="DB715" s="22"/>
      <c r="DC715" s="22"/>
      <c r="DD715" s="22"/>
      <c r="DE715" s="22"/>
      <c r="DF715" s="22"/>
      <c r="DG715" s="22"/>
      <c r="DH715" s="22"/>
      <c r="DI715" s="22"/>
      <c r="DJ715" s="22"/>
      <c r="DK715" s="22"/>
      <c r="DL715" s="22"/>
      <c r="DM715" s="22"/>
      <c r="DN715" s="22"/>
      <c r="DO715" s="22"/>
      <c r="DP715" s="22"/>
      <c r="DQ715" s="22"/>
      <c r="DR715" s="22"/>
      <c r="DS715" s="22"/>
      <c r="DT715" s="22"/>
      <c r="DU715" s="22"/>
      <c r="DV715" s="42"/>
      <c r="DW715" s="23"/>
    </row>
    <row r="716" spans="1:130" customFormat="1">
      <c r="A716" s="194" t="s">
        <v>182</v>
      </c>
      <c r="B716" s="194"/>
      <c r="C716" s="8">
        <f>COUNTA(C688:C711)</f>
        <v>24</v>
      </c>
      <c r="D716" s="10"/>
      <c r="E716" s="10"/>
      <c r="F716" s="10">
        <f>SUM(C712:F712)</f>
        <v>567</v>
      </c>
      <c r="G716" s="275">
        <f>G712/F716</f>
        <v>1.4109347442680775E-2</v>
      </c>
      <c r="H716" s="104">
        <f>H712/S712</f>
        <v>1.400329489291598E-2</v>
      </c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30"/>
      <c r="T716" s="10"/>
      <c r="U716" s="98">
        <f>U712/S712</f>
        <v>0.29159802306425042</v>
      </c>
      <c r="V716" s="98">
        <f>V712/S712</f>
        <v>0.24052718286655683</v>
      </c>
      <c r="W716" s="276">
        <f>W712/S712</f>
        <v>0</v>
      </c>
      <c r="X716" s="276">
        <f>X712/S712</f>
        <v>3.2948929159802307E-3</v>
      </c>
      <c r="Y716" s="10"/>
      <c r="Z716" s="8"/>
      <c r="AA716" s="10"/>
      <c r="AB716" s="10"/>
      <c r="AC716" s="8"/>
      <c r="AD716" s="10"/>
      <c r="AE716" s="30"/>
      <c r="AF716" s="10"/>
      <c r="AG716" s="8"/>
      <c r="AH716" s="10"/>
      <c r="AI716" s="10"/>
      <c r="AJ716" s="5"/>
      <c r="AK716" s="10"/>
      <c r="AL716" s="8"/>
      <c r="AM716" s="10"/>
      <c r="AN716" s="30"/>
      <c r="AO716" s="10"/>
      <c r="AP716" s="10"/>
      <c r="AQ716" s="30"/>
      <c r="AR716" s="10"/>
      <c r="AS716" s="10"/>
      <c r="AT716" s="10"/>
      <c r="AU716" s="10"/>
      <c r="AV716" s="5"/>
      <c r="AW716" s="10"/>
      <c r="AX716" s="326"/>
      <c r="AY716" s="5"/>
      <c r="AZ716" s="10"/>
      <c r="BA716" s="8"/>
      <c r="BB716" s="10"/>
      <c r="BC716" s="10"/>
      <c r="BD716" s="10"/>
      <c r="BE716" s="10"/>
      <c r="BF716" s="10"/>
      <c r="BG716" s="10"/>
      <c r="BH716" s="30"/>
      <c r="BI716" s="10"/>
      <c r="BJ716" s="338"/>
      <c r="BK716" s="338"/>
      <c r="BL716" s="303"/>
      <c r="BM716" s="5"/>
      <c r="BN716" s="10"/>
      <c r="BO716" s="8"/>
      <c r="BP716" s="5"/>
      <c r="BQ716" s="10"/>
      <c r="BR716" s="65"/>
      <c r="BS716" s="19"/>
      <c r="BT716" s="14"/>
      <c r="BU716" s="10"/>
      <c r="BV716" s="8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  <c r="DG716" s="10"/>
      <c r="DH716" s="10"/>
      <c r="DI716" s="10"/>
      <c r="DJ716" s="10"/>
      <c r="DK716" s="10"/>
      <c r="DL716" s="10"/>
      <c r="DM716" s="10"/>
      <c r="DN716" s="10"/>
      <c r="DO716" s="10"/>
      <c r="DP716" s="10"/>
      <c r="DQ716" s="10"/>
      <c r="DR716" s="10"/>
      <c r="DS716" s="10"/>
      <c r="DT716" s="10"/>
      <c r="DU716" s="10"/>
      <c r="DV716" s="5"/>
      <c r="DW716" s="10"/>
    </row>
    <row r="717" spans="1:130" customFormat="1">
      <c r="A717" s="194"/>
      <c r="B717" s="194"/>
      <c r="C717" s="8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30"/>
      <c r="T717" s="10"/>
      <c r="U717" s="105"/>
      <c r="V717" s="105"/>
      <c r="W717" s="10"/>
      <c r="X717" s="5"/>
      <c r="Y717" s="10"/>
      <c r="Z717" s="8"/>
      <c r="AA717" s="10"/>
      <c r="AB717" s="10"/>
      <c r="AC717" s="8"/>
      <c r="AD717" s="10"/>
      <c r="AE717" s="30"/>
      <c r="AF717" s="10"/>
      <c r="AG717" s="8"/>
      <c r="AH717" s="10"/>
      <c r="AI717" s="10"/>
      <c r="AJ717" s="5"/>
      <c r="AK717" s="10"/>
      <c r="AL717" s="8"/>
      <c r="AM717" s="10"/>
      <c r="AN717" s="30"/>
      <c r="AO717" s="10"/>
      <c r="AP717" s="10"/>
      <c r="AQ717" s="30"/>
      <c r="AR717" s="10"/>
      <c r="AS717" s="10"/>
      <c r="AT717" s="10"/>
      <c r="AU717" s="10"/>
      <c r="AV717" s="5"/>
      <c r="AW717" s="10"/>
      <c r="AX717" s="326"/>
      <c r="AY717" s="5"/>
      <c r="AZ717" s="10"/>
      <c r="BA717" s="8"/>
      <c r="BB717" s="10"/>
      <c r="BC717" s="10"/>
      <c r="BD717" s="10"/>
      <c r="BE717" s="10"/>
      <c r="BF717" s="10"/>
      <c r="BG717" s="10"/>
      <c r="BH717" s="30"/>
      <c r="BI717" s="10"/>
      <c r="BJ717" s="338"/>
      <c r="BK717" s="338"/>
      <c r="BL717" s="303"/>
      <c r="BM717" s="5"/>
      <c r="BN717" s="10"/>
      <c r="BO717" s="8"/>
      <c r="BP717" s="5"/>
      <c r="BQ717" s="10"/>
      <c r="BR717" s="65"/>
      <c r="BS717" s="19"/>
      <c r="BT717" s="14"/>
      <c r="BU717" s="10"/>
      <c r="BV717" s="8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  <c r="DF717" s="10"/>
      <c r="DG717" s="10"/>
      <c r="DH717" s="10"/>
      <c r="DI717" s="10"/>
      <c r="DJ717" s="10"/>
      <c r="DK717" s="10"/>
      <c r="DL717" s="10"/>
      <c r="DM717" s="10"/>
      <c r="DN717" s="10"/>
      <c r="DO717" s="10"/>
      <c r="DP717" s="10"/>
      <c r="DQ717" s="10"/>
      <c r="DR717" s="10"/>
      <c r="DS717" s="10"/>
      <c r="DT717" s="10"/>
      <c r="DU717" s="10"/>
      <c r="DV717" s="5"/>
      <c r="DW717" s="10"/>
    </row>
    <row r="718" spans="1:130" s="286" customFormat="1" ht="12" thickBot="1">
      <c r="A718" s="194"/>
      <c r="B718" s="194"/>
      <c r="C718" s="8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30"/>
      <c r="T718" s="10"/>
      <c r="U718" s="10"/>
      <c r="V718" s="10"/>
      <c r="W718" s="10"/>
      <c r="X718" s="5"/>
      <c r="Y718" s="10"/>
      <c r="Z718" s="8"/>
      <c r="AA718" s="10"/>
      <c r="AB718" s="10"/>
      <c r="AC718" s="8"/>
      <c r="AD718" s="10"/>
      <c r="AE718" s="30"/>
      <c r="AF718" s="10"/>
      <c r="AG718" s="8"/>
      <c r="AH718" s="10"/>
      <c r="AI718" s="10"/>
      <c r="AJ718" s="5"/>
      <c r="AK718" s="10"/>
      <c r="AL718" s="8"/>
      <c r="AM718" s="10"/>
      <c r="AN718" s="30"/>
      <c r="AO718" s="10"/>
      <c r="AP718" s="10"/>
      <c r="AQ718" s="30"/>
      <c r="AR718" s="10"/>
      <c r="AS718" s="10"/>
      <c r="AT718" s="10"/>
      <c r="AU718" s="10"/>
      <c r="AV718" s="5"/>
      <c r="AW718" s="10"/>
      <c r="AX718" s="326"/>
      <c r="AY718" s="5"/>
      <c r="AZ718" s="10"/>
      <c r="BA718" s="8"/>
      <c r="BB718" s="10"/>
      <c r="BC718" s="10"/>
      <c r="BD718" s="10"/>
      <c r="BE718" s="10"/>
      <c r="BF718" s="10"/>
      <c r="BG718" s="10"/>
      <c r="BH718" s="30"/>
      <c r="BI718" s="10"/>
      <c r="BJ718" s="338"/>
      <c r="BK718" s="338"/>
      <c r="BL718" s="303"/>
      <c r="BM718" s="5"/>
      <c r="BN718" s="10"/>
      <c r="BO718" s="8"/>
      <c r="BP718" s="5"/>
      <c r="BQ718" s="10"/>
      <c r="BR718" s="65"/>
      <c r="BS718" s="19"/>
      <c r="BT718" s="14"/>
      <c r="BU718" s="10"/>
      <c r="BV718" s="8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  <c r="DF718" s="10"/>
      <c r="DG718" s="10"/>
      <c r="DH718" s="10"/>
      <c r="DI718" s="10"/>
      <c r="DJ718" s="10"/>
      <c r="DK718" s="10"/>
      <c r="DL718" s="10"/>
      <c r="DM718" s="10"/>
      <c r="DN718" s="10"/>
      <c r="DO718" s="10"/>
      <c r="DP718" s="10"/>
      <c r="DQ718" s="10"/>
      <c r="DR718" s="10"/>
      <c r="DS718" s="10"/>
      <c r="DT718" s="10"/>
      <c r="DU718" s="10"/>
      <c r="DV718" s="5"/>
      <c r="DW718" s="10"/>
    </row>
    <row r="719" spans="1:130" s="286" customFormat="1">
      <c r="A719" s="208">
        <v>40725</v>
      </c>
      <c r="B719" s="209"/>
      <c r="C719" s="36">
        <v>4</v>
      </c>
      <c r="D719" s="9">
        <v>19</v>
      </c>
      <c r="E719" s="9">
        <v>0</v>
      </c>
      <c r="F719" s="9">
        <v>0</v>
      </c>
      <c r="G719" s="9">
        <v>2</v>
      </c>
      <c r="H719" s="9">
        <v>2</v>
      </c>
      <c r="I719" s="9">
        <v>0</v>
      </c>
      <c r="J719" s="9">
        <v>5</v>
      </c>
      <c r="K719" s="9">
        <v>0</v>
      </c>
      <c r="L719" s="9">
        <v>0</v>
      </c>
      <c r="M719" s="9">
        <v>0</v>
      </c>
      <c r="N719" s="9">
        <v>0</v>
      </c>
      <c r="O719" s="9">
        <v>3</v>
      </c>
      <c r="P719" s="9">
        <v>2</v>
      </c>
      <c r="Q719" s="9">
        <v>0</v>
      </c>
      <c r="R719" s="9">
        <v>0</v>
      </c>
      <c r="S719" s="33">
        <f>SUM(C719:R719)</f>
        <v>37</v>
      </c>
      <c r="T719" s="9"/>
      <c r="U719" s="9">
        <v>13</v>
      </c>
      <c r="V719" s="9">
        <v>12</v>
      </c>
      <c r="W719" s="9">
        <v>0</v>
      </c>
      <c r="X719" s="37">
        <v>0</v>
      </c>
      <c r="Y719" s="9"/>
      <c r="Z719" s="91">
        <v>306714</v>
      </c>
      <c r="AA719" s="99"/>
      <c r="AB719" s="99"/>
      <c r="AC719" s="91">
        <v>1669838</v>
      </c>
      <c r="AD719" s="9"/>
      <c r="AE719" s="33">
        <f t="shared" ref="AE719:AE742" si="354">SUM(AC719:AD719)</f>
        <v>1669838</v>
      </c>
      <c r="AF719" s="9"/>
      <c r="AG719" s="91">
        <v>82</v>
      </c>
      <c r="AH719" s="92">
        <v>37</v>
      </c>
      <c r="AI719" s="92">
        <v>132</v>
      </c>
      <c r="AJ719" s="93"/>
      <c r="AK719" s="9"/>
      <c r="AL719" s="36">
        <v>0</v>
      </c>
      <c r="AM719" s="9">
        <v>36</v>
      </c>
      <c r="AN719" s="33">
        <f>SUM(AL719:AM719)</f>
        <v>36</v>
      </c>
      <c r="AO719" s="280"/>
      <c r="AP719" s="280"/>
      <c r="AQ719" s="282"/>
      <c r="AR719" s="92">
        <v>145</v>
      </c>
      <c r="AS719" s="92"/>
      <c r="AT719" s="92"/>
      <c r="AU719" s="92"/>
      <c r="AV719" s="93"/>
      <c r="AW719" s="9"/>
      <c r="AX719" s="325">
        <v>40723</v>
      </c>
      <c r="AY719" s="37">
        <v>-2</v>
      </c>
      <c r="AZ719" s="9"/>
      <c r="BA719" s="36">
        <v>1981</v>
      </c>
      <c r="BB719" s="9">
        <v>70526180</v>
      </c>
      <c r="BC719" s="9"/>
      <c r="BD719" s="9"/>
      <c r="BE719" s="9">
        <v>86</v>
      </c>
      <c r="BF719" s="9">
        <v>5</v>
      </c>
      <c r="BG719" s="9">
        <v>2</v>
      </c>
      <c r="BH719" s="350">
        <f>SUM(BE719:BG719)</f>
        <v>93</v>
      </c>
      <c r="BI719" s="9">
        <v>4547065</v>
      </c>
      <c r="BJ719" s="337">
        <v>40734</v>
      </c>
      <c r="BK719" s="337">
        <v>40744</v>
      </c>
      <c r="BL719" s="319">
        <f>BK719-BJ719</f>
        <v>10</v>
      </c>
      <c r="BM719" s="37"/>
      <c r="BN719" s="290"/>
      <c r="BO719" s="291"/>
      <c r="BP719" s="37">
        <v>167</v>
      </c>
      <c r="BQ719" s="9"/>
      <c r="BR719" s="74">
        <v>2012</v>
      </c>
      <c r="BS719" s="75">
        <v>2011</v>
      </c>
      <c r="BT719" s="13">
        <v>13</v>
      </c>
      <c r="BU719" s="9"/>
      <c r="BV719" s="36"/>
      <c r="BW719" s="9">
        <v>2</v>
      </c>
      <c r="BX719" s="9"/>
      <c r="BY719" s="9"/>
      <c r="BZ719" s="9"/>
      <c r="CA719" s="9"/>
      <c r="CB719" s="223"/>
      <c r="CC719" s="9"/>
      <c r="CD719" s="9">
        <v>8</v>
      </c>
      <c r="CE719" s="9">
        <v>4</v>
      </c>
      <c r="CF719" s="223"/>
      <c r="CG719" s="9">
        <v>2</v>
      </c>
      <c r="CH719" s="9"/>
      <c r="CI719" s="9">
        <v>9</v>
      </c>
      <c r="CJ719" s="9">
        <v>1</v>
      </c>
      <c r="CK719" s="9"/>
      <c r="CL719" s="9"/>
      <c r="CM719" s="9"/>
      <c r="CN719" s="9">
        <v>2</v>
      </c>
      <c r="CO719" s="9"/>
      <c r="CP719" s="223"/>
      <c r="CQ719" s="9"/>
      <c r="CR719" s="223"/>
      <c r="CS719" s="9"/>
      <c r="CT719" s="9"/>
      <c r="CU719" s="223"/>
      <c r="CV719" s="9">
        <v>4</v>
      </c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>
        <v>2</v>
      </c>
      <c r="DJ719" s="9"/>
      <c r="DK719" s="9"/>
      <c r="DL719" s="223"/>
      <c r="DM719" s="9"/>
      <c r="DN719" s="9"/>
      <c r="DO719" s="9"/>
      <c r="DP719" s="9"/>
      <c r="DQ719" s="9"/>
      <c r="DR719" s="9"/>
      <c r="DS719" s="9">
        <v>3</v>
      </c>
      <c r="DT719" s="9"/>
      <c r="DU719" s="9"/>
      <c r="DV719" s="44">
        <f>SUM(BV719:DU719)</f>
        <v>37</v>
      </c>
      <c r="DW719" s="13" t="str">
        <f t="shared" ref="DW719:DW743" si="355">IF(DV719=S719,"","PROB")</f>
        <v/>
      </c>
      <c r="DY719" s="286">
        <f>S719</f>
        <v>37</v>
      </c>
    </row>
    <row r="720" spans="1:130" s="286" customFormat="1">
      <c r="A720" s="210">
        <v>40739</v>
      </c>
      <c r="B720" s="211"/>
      <c r="C720" s="8">
        <v>2</v>
      </c>
      <c r="D720" s="10">
        <v>36</v>
      </c>
      <c r="E720" s="10">
        <v>9</v>
      </c>
      <c r="F720" s="59">
        <v>2</v>
      </c>
      <c r="G720" s="59">
        <v>1</v>
      </c>
      <c r="H720" s="59">
        <v>2</v>
      </c>
      <c r="I720" s="59">
        <v>0</v>
      </c>
      <c r="J720" s="59">
        <v>12</v>
      </c>
      <c r="K720" s="59">
        <v>1</v>
      </c>
      <c r="L720" s="59">
        <v>0</v>
      </c>
      <c r="M720" s="59">
        <v>0</v>
      </c>
      <c r="N720" s="59">
        <v>0</v>
      </c>
      <c r="O720" s="59">
        <v>2</v>
      </c>
      <c r="P720" s="59">
        <v>3</v>
      </c>
      <c r="Q720" s="59">
        <v>0</v>
      </c>
      <c r="R720" s="59">
        <v>0</v>
      </c>
      <c r="S720" s="35">
        <f>SUM(C720:R720)</f>
        <v>70</v>
      </c>
      <c r="T720" s="59"/>
      <c r="U720" s="59">
        <v>26</v>
      </c>
      <c r="V720" s="59">
        <v>24</v>
      </c>
      <c r="W720" s="59">
        <v>0</v>
      </c>
      <c r="X720" s="5">
        <v>0</v>
      </c>
      <c r="Y720" s="10"/>
      <c r="Z720" s="61">
        <v>406846</v>
      </c>
      <c r="AA720" s="219"/>
      <c r="AB720" s="219"/>
      <c r="AC720" s="61">
        <v>2519332</v>
      </c>
      <c r="AD720" s="59"/>
      <c r="AE720" s="35">
        <f t="shared" si="354"/>
        <v>2519332</v>
      </c>
      <c r="AF720" s="10"/>
      <c r="AG720" s="61">
        <v>139</v>
      </c>
      <c r="AH720" s="59">
        <v>43</v>
      </c>
      <c r="AI720" s="59">
        <v>200</v>
      </c>
      <c r="AJ720" s="62"/>
      <c r="AK720" s="10"/>
      <c r="AL720" s="8"/>
      <c r="AM720" s="10"/>
      <c r="AN720" s="35"/>
      <c r="AO720" s="279"/>
      <c r="AP720" s="279"/>
      <c r="AQ720" s="281"/>
      <c r="AR720" s="59">
        <v>145</v>
      </c>
      <c r="AS720" s="59"/>
      <c r="AT720" s="59"/>
      <c r="AU720" s="59"/>
      <c r="AV720" s="62"/>
      <c r="AW720" s="10"/>
      <c r="AX720" s="326">
        <v>40737</v>
      </c>
      <c r="AY720" s="5">
        <v>-2</v>
      </c>
      <c r="AZ720" s="10"/>
      <c r="BA720" s="8"/>
      <c r="BB720" s="295"/>
      <c r="BC720" s="295"/>
      <c r="BD720" s="318"/>
      <c r="BE720" s="295"/>
      <c r="BF720" s="295"/>
      <c r="BG720" s="295"/>
      <c r="BH720" s="30"/>
      <c r="BI720" s="295"/>
      <c r="BJ720" s="327"/>
      <c r="BK720" s="327"/>
      <c r="BL720" s="320"/>
      <c r="BM720" s="5"/>
      <c r="BN720" s="10"/>
      <c r="BO720" s="8"/>
      <c r="BP720" s="5"/>
      <c r="BQ720" s="10"/>
      <c r="BR720" s="29">
        <v>2012</v>
      </c>
      <c r="BS720" s="64">
        <v>2011</v>
      </c>
      <c r="BT720" s="14">
        <v>14</v>
      </c>
      <c r="BU720" s="10"/>
      <c r="BV720" s="8"/>
      <c r="BW720" s="10">
        <v>4</v>
      </c>
      <c r="BX720" s="59"/>
      <c r="BY720" s="59"/>
      <c r="BZ720" s="59"/>
      <c r="CA720" s="59"/>
      <c r="CB720" s="221"/>
      <c r="CC720" s="59"/>
      <c r="CD720" s="59">
        <v>15</v>
      </c>
      <c r="CE720" s="59">
        <v>3</v>
      </c>
      <c r="CF720" s="221"/>
      <c r="CG720" s="59">
        <v>2</v>
      </c>
      <c r="CH720" s="59">
        <v>2</v>
      </c>
      <c r="CI720" s="59">
        <v>4</v>
      </c>
      <c r="CJ720" s="59">
        <v>3</v>
      </c>
      <c r="CK720" s="59"/>
      <c r="CL720" s="59"/>
      <c r="CM720" s="59"/>
      <c r="CN720" s="59"/>
      <c r="CO720" s="59">
        <v>9</v>
      </c>
      <c r="CP720" s="221"/>
      <c r="CQ720" s="59">
        <v>1</v>
      </c>
      <c r="CR720" s="221"/>
      <c r="CS720" s="59">
        <v>2</v>
      </c>
      <c r="CT720" s="59"/>
      <c r="CU720" s="221"/>
      <c r="CV720" s="59">
        <v>2</v>
      </c>
      <c r="CW720" s="59"/>
      <c r="CX720" s="59"/>
      <c r="CY720" s="59">
        <v>1</v>
      </c>
      <c r="CZ720" s="59"/>
      <c r="DA720" s="59"/>
      <c r="DB720" s="59">
        <v>4</v>
      </c>
      <c r="DC720" s="59"/>
      <c r="DD720" s="59"/>
      <c r="DE720" s="59"/>
      <c r="DF720" s="59">
        <v>1</v>
      </c>
      <c r="DG720" s="59"/>
      <c r="DH720" s="59">
        <v>1</v>
      </c>
      <c r="DI720" s="59">
        <v>1</v>
      </c>
      <c r="DJ720" s="59"/>
      <c r="DK720" s="59"/>
      <c r="DL720" s="221"/>
      <c r="DM720" s="59">
        <v>10</v>
      </c>
      <c r="DN720" s="59"/>
      <c r="DO720" s="59">
        <v>3</v>
      </c>
      <c r="DP720" s="59"/>
      <c r="DQ720" s="59"/>
      <c r="DR720" s="59"/>
      <c r="DS720" s="59">
        <v>2</v>
      </c>
      <c r="DT720" s="59"/>
      <c r="DU720" s="59"/>
      <c r="DV720" s="38">
        <f t="shared" ref="DV720:DV743" si="356">SUM(BV720:DU720)</f>
        <v>70</v>
      </c>
      <c r="DW720" s="14" t="str">
        <f t="shared" si="355"/>
        <v/>
      </c>
      <c r="DY720" s="286">
        <f>S720</f>
        <v>70</v>
      </c>
    </row>
    <row r="721" spans="1:130" s="286" customFormat="1">
      <c r="A721" s="210">
        <v>40756</v>
      </c>
      <c r="B721" s="211"/>
      <c r="C721" s="8">
        <v>4</v>
      </c>
      <c r="D721" s="10">
        <v>38</v>
      </c>
      <c r="E721" s="10">
        <v>0</v>
      </c>
      <c r="F721" s="59">
        <v>0</v>
      </c>
      <c r="G721" s="59">
        <v>2</v>
      </c>
      <c r="H721" s="59">
        <v>0</v>
      </c>
      <c r="I721" s="59">
        <v>0</v>
      </c>
      <c r="J721" s="59">
        <v>21</v>
      </c>
      <c r="K721" s="59">
        <v>0</v>
      </c>
      <c r="L721" s="59">
        <v>0</v>
      </c>
      <c r="M721" s="59">
        <v>0</v>
      </c>
      <c r="N721" s="59">
        <v>0</v>
      </c>
      <c r="O721" s="59">
        <v>12</v>
      </c>
      <c r="P721" s="59">
        <v>2</v>
      </c>
      <c r="Q721" s="59">
        <v>0</v>
      </c>
      <c r="R721" s="59">
        <v>0</v>
      </c>
      <c r="S721" s="35">
        <f t="shared" ref="S721:S732" si="357">SUM(C721:R721)</f>
        <v>79</v>
      </c>
      <c r="T721" s="59"/>
      <c r="U721" s="59">
        <v>13</v>
      </c>
      <c r="V721" s="59">
        <v>12</v>
      </c>
      <c r="W721" s="59">
        <v>0</v>
      </c>
      <c r="X721" s="5">
        <v>0</v>
      </c>
      <c r="Y721" s="10"/>
      <c r="Z721" s="61">
        <v>408736</v>
      </c>
      <c r="AA721" s="100"/>
      <c r="AB721" s="100"/>
      <c r="AC721" s="61">
        <v>2812443</v>
      </c>
      <c r="AD721" s="59"/>
      <c r="AE721" s="35">
        <f t="shared" si="354"/>
        <v>2812443</v>
      </c>
      <c r="AF721" s="10"/>
      <c r="AG721" s="61">
        <v>133</v>
      </c>
      <c r="AH721" s="59">
        <v>50</v>
      </c>
      <c r="AI721" s="59">
        <v>204</v>
      </c>
      <c r="AJ721" s="62"/>
      <c r="AK721" s="10"/>
      <c r="AL721" s="8"/>
      <c r="AM721" s="10"/>
      <c r="AN721" s="35"/>
      <c r="AO721" s="279"/>
      <c r="AP721" s="279"/>
      <c r="AQ721" s="281"/>
      <c r="AR721" s="59">
        <v>147</v>
      </c>
      <c r="AS721" s="59"/>
      <c r="AT721" s="59"/>
      <c r="AU721" s="59"/>
      <c r="AV721" s="62"/>
      <c r="AW721" s="10"/>
      <c r="AX721" s="326">
        <v>40752</v>
      </c>
      <c r="AY721" s="5">
        <v>-4</v>
      </c>
      <c r="AZ721" s="10"/>
      <c r="BA721" s="8">
        <v>1978</v>
      </c>
      <c r="BB721" s="295">
        <v>70527691</v>
      </c>
      <c r="BC721" s="295"/>
      <c r="BD721" s="318"/>
      <c r="BE721" s="295">
        <v>61</v>
      </c>
      <c r="BF721" s="295">
        <v>6</v>
      </c>
      <c r="BG721" s="295">
        <v>9</v>
      </c>
      <c r="BH721" s="30">
        <f>SUM(BE721:BG721)</f>
        <v>76</v>
      </c>
      <c r="BI721" s="295">
        <v>3626001</v>
      </c>
      <c r="BJ721" s="327">
        <v>40765</v>
      </c>
      <c r="BK721" s="327">
        <v>40774</v>
      </c>
      <c r="BL721" s="320">
        <f>BK721-BJ721</f>
        <v>9</v>
      </c>
      <c r="BM721" s="5"/>
      <c r="BN721" s="292"/>
      <c r="BO721" s="293"/>
      <c r="BP721" s="5">
        <v>167</v>
      </c>
      <c r="BQ721" s="10"/>
      <c r="BR721" s="29">
        <v>2012</v>
      </c>
      <c r="BS721" s="64">
        <v>2011</v>
      </c>
      <c r="BT721" s="14">
        <v>15</v>
      </c>
      <c r="BU721" s="10"/>
      <c r="BV721" s="8"/>
      <c r="BW721" s="10"/>
      <c r="BX721" s="59">
        <v>26</v>
      </c>
      <c r="BY721" s="59"/>
      <c r="BZ721" s="59"/>
      <c r="CA721" s="59"/>
      <c r="CB721" s="221"/>
      <c r="CC721" s="59"/>
      <c r="CD721" s="59">
        <v>8</v>
      </c>
      <c r="CE721" s="59">
        <v>1</v>
      </c>
      <c r="CF721" s="221"/>
      <c r="CG721" s="59"/>
      <c r="CH721" s="59"/>
      <c r="CI721" s="59"/>
      <c r="CJ721" s="59">
        <v>24</v>
      </c>
      <c r="CK721" s="59"/>
      <c r="CL721" s="59"/>
      <c r="CM721" s="59"/>
      <c r="CN721" s="59"/>
      <c r="CO721" s="59">
        <v>13</v>
      </c>
      <c r="CP721" s="221"/>
      <c r="CQ721" s="59"/>
      <c r="CR721" s="221"/>
      <c r="CS721" s="59"/>
      <c r="CT721" s="59">
        <v>1</v>
      </c>
      <c r="CU721" s="221"/>
      <c r="CV721" s="59">
        <v>1</v>
      </c>
      <c r="CW721" s="59"/>
      <c r="CX721" s="59"/>
      <c r="CY721" s="59"/>
      <c r="CZ721" s="59"/>
      <c r="DA721" s="59"/>
      <c r="DB721" s="59">
        <v>4</v>
      </c>
      <c r="DC721" s="59"/>
      <c r="DD721" s="59"/>
      <c r="DE721" s="59"/>
      <c r="DF721" s="59"/>
      <c r="DG721" s="59"/>
      <c r="DH721" s="59"/>
      <c r="DI721" s="59"/>
      <c r="DJ721" s="59"/>
      <c r="DK721" s="59"/>
      <c r="DL721" s="221"/>
      <c r="DM721" s="59"/>
      <c r="DN721" s="59"/>
      <c r="DO721" s="59"/>
      <c r="DP721" s="59"/>
      <c r="DQ721" s="59"/>
      <c r="DR721" s="59"/>
      <c r="DS721" s="59">
        <v>1</v>
      </c>
      <c r="DT721" s="59"/>
      <c r="DU721" s="59"/>
      <c r="DV721" s="38">
        <f t="shared" si="356"/>
        <v>79</v>
      </c>
      <c r="DW721" s="14" t="str">
        <f t="shared" si="355"/>
        <v/>
      </c>
      <c r="DY721" s="286">
        <f>S721</f>
        <v>79</v>
      </c>
    </row>
    <row r="722" spans="1:130" s="286" customFormat="1">
      <c r="A722" s="210">
        <v>40770</v>
      </c>
      <c r="B722" s="211"/>
      <c r="C722" s="61">
        <v>2</v>
      </c>
      <c r="D722" s="59">
        <v>15</v>
      </c>
      <c r="E722" s="59">
        <v>0</v>
      </c>
      <c r="F722" s="59">
        <v>0</v>
      </c>
      <c r="G722" s="59">
        <v>0</v>
      </c>
      <c r="H722" s="59">
        <v>0</v>
      </c>
      <c r="I722" s="59">
        <v>0</v>
      </c>
      <c r="J722" s="59">
        <v>1</v>
      </c>
      <c r="K722" s="59">
        <v>0</v>
      </c>
      <c r="L722" s="59">
        <v>0</v>
      </c>
      <c r="M722" s="59">
        <v>0</v>
      </c>
      <c r="N722" s="59">
        <v>0</v>
      </c>
      <c r="O722" s="59">
        <v>5</v>
      </c>
      <c r="P722" s="59">
        <v>0</v>
      </c>
      <c r="Q722" s="59">
        <v>0</v>
      </c>
      <c r="R722" s="59">
        <v>0</v>
      </c>
      <c r="S722" s="35">
        <f t="shared" si="357"/>
        <v>23</v>
      </c>
      <c r="T722" s="59"/>
      <c r="U722" s="59">
        <v>3</v>
      </c>
      <c r="V722" s="59">
        <v>3</v>
      </c>
      <c r="W722" s="59">
        <v>0</v>
      </c>
      <c r="X722" s="62">
        <v>0</v>
      </c>
      <c r="Y722" s="59"/>
      <c r="Z722" s="61">
        <v>310557</v>
      </c>
      <c r="AA722" s="101"/>
      <c r="AB722" s="101"/>
      <c r="AC722" s="61">
        <v>1031161</v>
      </c>
      <c r="AD722" s="59"/>
      <c r="AE722" s="35">
        <f t="shared" si="354"/>
        <v>1031161</v>
      </c>
      <c r="AF722" s="10"/>
      <c r="AG722" s="61">
        <v>44</v>
      </c>
      <c r="AH722" s="59">
        <v>51</v>
      </c>
      <c r="AI722" s="59">
        <v>110</v>
      </c>
      <c r="AJ722" s="62"/>
      <c r="AK722" s="10"/>
      <c r="AL722" s="8"/>
      <c r="AM722" s="10"/>
      <c r="AN722" s="35"/>
      <c r="AO722" s="279"/>
      <c r="AP722" s="279"/>
      <c r="AQ722" s="281"/>
      <c r="AR722" s="59">
        <v>148</v>
      </c>
      <c r="AS722" s="59"/>
      <c r="AT722" s="59"/>
      <c r="AU722" s="59"/>
      <c r="AV722" s="62"/>
      <c r="AW722" s="10"/>
      <c r="AX722" s="326">
        <v>40766</v>
      </c>
      <c r="AY722" s="5">
        <v>-4</v>
      </c>
      <c r="AZ722" s="10"/>
      <c r="BA722" s="8"/>
      <c r="BB722" s="295"/>
      <c r="BC722" s="295"/>
      <c r="BD722" s="318"/>
      <c r="BE722" s="295"/>
      <c r="BF722" s="295"/>
      <c r="BG722" s="295"/>
      <c r="BH722" s="30"/>
      <c r="BI722" s="295"/>
      <c r="BJ722" s="327"/>
      <c r="BK722" s="327"/>
      <c r="BL722" s="320"/>
      <c r="BM722" s="5"/>
      <c r="BN722" s="10"/>
      <c r="BO722" s="8"/>
      <c r="BP722" s="5"/>
      <c r="BQ722" s="10"/>
      <c r="BR722" s="29">
        <v>2012</v>
      </c>
      <c r="BS722" s="64">
        <v>2011</v>
      </c>
      <c r="BT722" s="14">
        <v>16</v>
      </c>
      <c r="BU722" s="10"/>
      <c r="BV722" s="8"/>
      <c r="BW722" s="59"/>
      <c r="BX722" s="59">
        <v>3</v>
      </c>
      <c r="BY722" s="59"/>
      <c r="BZ722" s="59"/>
      <c r="CA722" s="59"/>
      <c r="CB722" s="221"/>
      <c r="CC722" s="59">
        <v>2</v>
      </c>
      <c r="CD722" s="59">
        <v>4</v>
      </c>
      <c r="CE722" s="59"/>
      <c r="CF722" s="221"/>
      <c r="CG722" s="59"/>
      <c r="CH722" s="59"/>
      <c r="CI722" s="59">
        <v>3</v>
      </c>
      <c r="CJ722" s="59"/>
      <c r="CK722" s="59"/>
      <c r="CL722" s="59"/>
      <c r="CM722" s="59"/>
      <c r="CN722" s="59"/>
      <c r="CO722" s="59">
        <v>4</v>
      </c>
      <c r="CP722" s="221"/>
      <c r="CQ722" s="59"/>
      <c r="CR722" s="221"/>
      <c r="CS722" s="59"/>
      <c r="CT722" s="59"/>
      <c r="CU722" s="221"/>
      <c r="CV722" s="59">
        <v>3</v>
      </c>
      <c r="CW722" s="59"/>
      <c r="CX722" s="59"/>
      <c r="CY722" s="59">
        <v>4</v>
      </c>
      <c r="CZ722" s="59"/>
      <c r="DA722" s="59"/>
      <c r="DB722" s="59"/>
      <c r="DC722" s="59"/>
      <c r="DD722" s="59"/>
      <c r="DE722" s="59"/>
      <c r="DF722" s="59"/>
      <c r="DG722" s="59"/>
      <c r="DH722" s="59"/>
      <c r="DI722" s="59"/>
      <c r="DJ722" s="59"/>
      <c r="DK722" s="59"/>
      <c r="DL722" s="221"/>
      <c r="DM722" s="59"/>
      <c r="DN722" s="59"/>
      <c r="DO722" s="59"/>
      <c r="DP722" s="59"/>
      <c r="DQ722" s="59"/>
      <c r="DR722" s="59"/>
      <c r="DS722" s="59"/>
      <c r="DT722" s="59"/>
      <c r="DU722" s="59"/>
      <c r="DV722" s="38">
        <f t="shared" si="356"/>
        <v>23</v>
      </c>
      <c r="DW722" s="14" t="str">
        <f t="shared" si="355"/>
        <v/>
      </c>
      <c r="DY722" s="286">
        <f>S722</f>
        <v>23</v>
      </c>
    </row>
    <row r="723" spans="1:130" s="286" customFormat="1">
      <c r="A723" s="210">
        <v>40787</v>
      </c>
      <c r="B723" s="211"/>
      <c r="C723" s="61">
        <v>5</v>
      </c>
      <c r="D723" s="59">
        <v>27</v>
      </c>
      <c r="E723" s="59">
        <v>2</v>
      </c>
      <c r="F723" s="59">
        <v>1</v>
      </c>
      <c r="G723" s="59">
        <v>0</v>
      </c>
      <c r="H723" s="59">
        <v>1</v>
      </c>
      <c r="I723" s="59">
        <v>0</v>
      </c>
      <c r="J723" s="59">
        <v>20</v>
      </c>
      <c r="K723" s="59">
        <v>0</v>
      </c>
      <c r="L723" s="59">
        <v>0</v>
      </c>
      <c r="M723" s="59">
        <v>0</v>
      </c>
      <c r="N723" s="59">
        <v>0</v>
      </c>
      <c r="O723" s="59">
        <v>7</v>
      </c>
      <c r="P723" s="59">
        <v>2</v>
      </c>
      <c r="Q723" s="59">
        <v>0</v>
      </c>
      <c r="R723" s="59">
        <v>0</v>
      </c>
      <c r="S723" s="35">
        <f t="shared" si="357"/>
        <v>65</v>
      </c>
      <c r="T723" s="59"/>
      <c r="U723" s="59">
        <v>20</v>
      </c>
      <c r="V723" s="59">
        <v>19</v>
      </c>
      <c r="W723" s="59">
        <v>0</v>
      </c>
      <c r="X723" s="62">
        <v>0</v>
      </c>
      <c r="Y723" s="59"/>
      <c r="Z723" s="61">
        <v>397879</v>
      </c>
      <c r="AA723" s="101"/>
      <c r="AB723" s="101"/>
      <c r="AC723" s="61">
        <v>2062020</v>
      </c>
      <c r="AD723" s="59"/>
      <c r="AE723" s="35">
        <f t="shared" si="354"/>
        <v>2062020</v>
      </c>
      <c r="AF723" s="10"/>
      <c r="AG723" s="61">
        <v>90</v>
      </c>
      <c r="AH723" s="59">
        <v>57</v>
      </c>
      <c r="AI723" s="59">
        <v>170</v>
      </c>
      <c r="AJ723" s="62"/>
      <c r="AK723" s="10"/>
      <c r="AL723" s="8"/>
      <c r="AM723" s="10"/>
      <c r="AN723" s="35"/>
      <c r="AO723" s="279"/>
      <c r="AP723" s="279"/>
      <c r="AQ723" s="281"/>
      <c r="AR723" s="59">
        <v>148</v>
      </c>
      <c r="AS723" s="59"/>
      <c r="AT723" s="59"/>
      <c r="AU723" s="59"/>
      <c r="AV723" s="62"/>
      <c r="AW723" s="10"/>
      <c r="AX723" s="326">
        <v>40785</v>
      </c>
      <c r="AY723" s="5">
        <v>-2</v>
      </c>
      <c r="AZ723" s="10"/>
      <c r="BA723" s="8">
        <v>1982</v>
      </c>
      <c r="BB723" s="295">
        <v>70698968</v>
      </c>
      <c r="BC723" s="295"/>
      <c r="BD723" s="318"/>
      <c r="BE723" s="295">
        <v>106</v>
      </c>
      <c r="BF723" s="295">
        <v>7</v>
      </c>
      <c r="BG723" s="295">
        <v>3</v>
      </c>
      <c r="BH723" s="30">
        <f>SUM(BE723:BG723)</f>
        <v>116</v>
      </c>
      <c r="BI723" s="295">
        <v>5942452</v>
      </c>
      <c r="BJ723" s="327">
        <v>40796</v>
      </c>
      <c r="BK723" s="327">
        <v>40803</v>
      </c>
      <c r="BL723" s="320">
        <f>BK723-BJ723</f>
        <v>7</v>
      </c>
      <c r="BM723" s="5"/>
      <c r="BN723" s="101"/>
      <c r="BO723" s="294"/>
      <c r="BP723" s="5">
        <v>167</v>
      </c>
      <c r="BQ723" s="10"/>
      <c r="BR723" s="29">
        <v>2012</v>
      </c>
      <c r="BS723" s="64">
        <v>2011</v>
      </c>
      <c r="BT723" s="14">
        <v>17</v>
      </c>
      <c r="BU723" s="10"/>
      <c r="BV723" s="8">
        <v>1</v>
      </c>
      <c r="BW723" s="59">
        <v>3</v>
      </c>
      <c r="BX723" s="59"/>
      <c r="BY723" s="59"/>
      <c r="BZ723" s="59"/>
      <c r="CA723" s="59"/>
      <c r="CB723" s="221"/>
      <c r="CC723" s="59"/>
      <c r="CD723" s="59">
        <v>10</v>
      </c>
      <c r="CE723" s="59"/>
      <c r="CF723" s="221"/>
      <c r="CG723" s="59"/>
      <c r="CH723" s="59"/>
      <c r="CI723" s="59">
        <v>12</v>
      </c>
      <c r="CJ723" s="59">
        <v>2</v>
      </c>
      <c r="CK723" s="59"/>
      <c r="CL723" s="59"/>
      <c r="CM723" s="59">
        <v>1</v>
      </c>
      <c r="CN723" s="59"/>
      <c r="CO723" s="59">
        <v>6</v>
      </c>
      <c r="CP723" s="221"/>
      <c r="CQ723" s="59"/>
      <c r="CR723" s="221"/>
      <c r="CS723" s="59"/>
      <c r="CT723" s="59">
        <v>3</v>
      </c>
      <c r="CU723" s="221"/>
      <c r="CV723" s="59">
        <v>2</v>
      </c>
      <c r="CW723" s="59"/>
      <c r="CX723" s="59"/>
      <c r="CY723" s="59">
        <v>2</v>
      </c>
      <c r="CZ723" s="59"/>
      <c r="DA723" s="59"/>
      <c r="DB723" s="59"/>
      <c r="DC723" s="59"/>
      <c r="DD723" s="59"/>
      <c r="DE723" s="59"/>
      <c r="DF723" s="59"/>
      <c r="DG723" s="59">
        <v>1</v>
      </c>
      <c r="DH723" s="59"/>
      <c r="DI723" s="59"/>
      <c r="DJ723" s="59"/>
      <c r="DK723" s="59"/>
      <c r="DL723" s="221"/>
      <c r="DM723" s="59">
        <v>11</v>
      </c>
      <c r="DN723" s="59"/>
      <c r="DO723" s="59">
        <v>10</v>
      </c>
      <c r="DP723" s="59"/>
      <c r="DQ723" s="59"/>
      <c r="DR723" s="59"/>
      <c r="DS723" s="59">
        <v>1</v>
      </c>
      <c r="DT723" s="59"/>
      <c r="DU723" s="59"/>
      <c r="DV723" s="38">
        <f t="shared" si="356"/>
        <v>65</v>
      </c>
      <c r="DW723" s="14" t="str">
        <f t="shared" si="355"/>
        <v/>
      </c>
      <c r="DY723" s="286">
        <f>S723</f>
        <v>65</v>
      </c>
    </row>
    <row r="724" spans="1:130" s="286" customFormat="1">
      <c r="A724" s="210">
        <v>40801</v>
      </c>
      <c r="B724" s="211"/>
      <c r="C724" s="61">
        <v>4</v>
      </c>
      <c r="D724" s="59">
        <v>29</v>
      </c>
      <c r="E724" s="59">
        <v>0</v>
      </c>
      <c r="F724" s="59">
        <v>1</v>
      </c>
      <c r="G724" s="59">
        <v>0</v>
      </c>
      <c r="H724" s="59">
        <v>0</v>
      </c>
      <c r="I724" s="59">
        <v>0</v>
      </c>
      <c r="J724" s="59">
        <v>9</v>
      </c>
      <c r="K724" s="59">
        <v>1</v>
      </c>
      <c r="L724" s="59">
        <v>0</v>
      </c>
      <c r="M724" s="59">
        <v>0</v>
      </c>
      <c r="N724" s="59">
        <v>0</v>
      </c>
      <c r="O724" s="59">
        <v>7</v>
      </c>
      <c r="P724" s="59">
        <v>1</v>
      </c>
      <c r="Q724" s="59">
        <v>0</v>
      </c>
      <c r="R724" s="59">
        <v>0</v>
      </c>
      <c r="S724" s="35">
        <f t="shared" si="357"/>
        <v>52</v>
      </c>
      <c r="T724" s="59"/>
      <c r="U724" s="59">
        <v>20</v>
      </c>
      <c r="V724" s="59">
        <v>17</v>
      </c>
      <c r="W724" s="59">
        <v>0</v>
      </c>
      <c r="X724" s="62">
        <v>0</v>
      </c>
      <c r="Y724" s="59"/>
      <c r="Z724" s="61">
        <v>422438</v>
      </c>
      <c r="AA724" s="101"/>
      <c r="AB724" s="101"/>
      <c r="AC724" s="61">
        <v>2035685</v>
      </c>
      <c r="AD724" s="59"/>
      <c r="AE724" s="35">
        <f t="shared" si="354"/>
        <v>2035685</v>
      </c>
      <c r="AF724" s="10"/>
      <c r="AG724" s="61">
        <v>85</v>
      </c>
      <c r="AH724" s="59">
        <v>63</v>
      </c>
      <c r="AI724" s="59">
        <v>168</v>
      </c>
      <c r="AJ724" s="62"/>
      <c r="AK724" s="10"/>
      <c r="AL724" s="8"/>
      <c r="AM724" s="10"/>
      <c r="AN724" s="35"/>
      <c r="AO724" s="279"/>
      <c r="AP724" s="279"/>
      <c r="AQ724" s="281"/>
      <c r="AR724" s="59">
        <v>153</v>
      </c>
      <c r="AS724" s="59">
        <v>104</v>
      </c>
      <c r="AT724" s="59">
        <v>174</v>
      </c>
      <c r="AU724" s="59">
        <v>21</v>
      </c>
      <c r="AV724" s="62">
        <v>346</v>
      </c>
      <c r="AW724" s="10"/>
      <c r="AX724" s="326">
        <v>40800</v>
      </c>
      <c r="AY724" s="5">
        <v>-1</v>
      </c>
      <c r="AZ724" s="10"/>
      <c r="BA724" s="8"/>
      <c r="BB724" s="295"/>
      <c r="BC724" s="295"/>
      <c r="BD724" s="318"/>
      <c r="BE724" s="295"/>
      <c r="BF724" s="295"/>
      <c r="BG724" s="295"/>
      <c r="BH724" s="30"/>
      <c r="BI724" s="295"/>
      <c r="BJ724" s="327"/>
      <c r="BK724" s="327"/>
      <c r="BL724" s="320"/>
      <c r="BM724" s="5"/>
      <c r="BN724" s="10"/>
      <c r="BO724" s="8"/>
      <c r="BP724" s="5"/>
      <c r="BQ724" s="10"/>
      <c r="BR724" s="29">
        <v>2012</v>
      </c>
      <c r="BS724" s="64">
        <v>2011</v>
      </c>
      <c r="BT724" s="14">
        <v>18</v>
      </c>
      <c r="BU724" s="10"/>
      <c r="BV724" s="8">
        <v>2</v>
      </c>
      <c r="BW724" s="59">
        <v>3</v>
      </c>
      <c r="BX724" s="59">
        <v>4</v>
      </c>
      <c r="BY724" s="59">
        <v>1</v>
      </c>
      <c r="BZ724" s="59"/>
      <c r="CA724" s="59"/>
      <c r="CB724" s="221"/>
      <c r="CC724" s="59"/>
      <c r="CD724" s="59">
        <v>1</v>
      </c>
      <c r="CE724" s="59"/>
      <c r="CF724" s="221"/>
      <c r="CG724" s="59"/>
      <c r="CH724" s="59"/>
      <c r="CI724" s="59"/>
      <c r="CJ724" s="59">
        <v>3</v>
      </c>
      <c r="CK724" s="59"/>
      <c r="CL724" s="59"/>
      <c r="CM724" s="59"/>
      <c r="CN724" s="59">
        <v>2</v>
      </c>
      <c r="CO724" s="59">
        <v>3</v>
      </c>
      <c r="CP724" s="221"/>
      <c r="CQ724" s="59"/>
      <c r="CR724" s="221"/>
      <c r="CS724" s="59"/>
      <c r="CT724" s="59">
        <v>4</v>
      </c>
      <c r="CU724" s="221"/>
      <c r="CV724" s="59">
        <v>8</v>
      </c>
      <c r="CW724" s="59"/>
      <c r="CX724" s="59"/>
      <c r="CY724" s="59">
        <v>2</v>
      </c>
      <c r="CZ724" s="59"/>
      <c r="DA724" s="59">
        <v>1</v>
      </c>
      <c r="DB724" s="59">
        <v>14</v>
      </c>
      <c r="DC724" s="59"/>
      <c r="DD724" s="59"/>
      <c r="DE724" s="59"/>
      <c r="DF724" s="59"/>
      <c r="DG724" s="59"/>
      <c r="DH724" s="59"/>
      <c r="DI724" s="59"/>
      <c r="DJ724" s="59"/>
      <c r="DK724" s="59"/>
      <c r="DL724" s="221"/>
      <c r="DM724" s="59">
        <v>2</v>
      </c>
      <c r="DN724" s="59"/>
      <c r="DO724" s="59"/>
      <c r="DP724" s="59"/>
      <c r="DQ724" s="59"/>
      <c r="DR724" s="59"/>
      <c r="DS724" s="59">
        <v>2</v>
      </c>
      <c r="DT724" s="59"/>
      <c r="DU724" s="59"/>
      <c r="DV724" s="38">
        <f t="shared" si="356"/>
        <v>52</v>
      </c>
      <c r="DW724" s="14" t="str">
        <f t="shared" si="355"/>
        <v/>
      </c>
      <c r="DY724" s="286">
        <f t="shared" ref="DY724:DY743" si="358">S724</f>
        <v>52</v>
      </c>
    </row>
    <row r="725" spans="1:130" s="286" customFormat="1">
      <c r="A725" s="210">
        <v>40817</v>
      </c>
      <c r="B725" s="211"/>
      <c r="C725" s="61">
        <v>4</v>
      </c>
      <c r="D725" s="59">
        <v>17</v>
      </c>
      <c r="E725" s="59">
        <v>2</v>
      </c>
      <c r="F725" s="59">
        <v>1</v>
      </c>
      <c r="G725" s="59">
        <v>1</v>
      </c>
      <c r="H725" s="59">
        <v>0</v>
      </c>
      <c r="I725" s="59">
        <v>0</v>
      </c>
      <c r="J725" s="59">
        <v>4</v>
      </c>
      <c r="K725" s="59">
        <v>0</v>
      </c>
      <c r="L725" s="59">
        <v>0</v>
      </c>
      <c r="M725" s="59">
        <v>0</v>
      </c>
      <c r="N725" s="59">
        <v>0</v>
      </c>
      <c r="O725" s="59">
        <v>3</v>
      </c>
      <c r="P725" s="59">
        <v>0</v>
      </c>
      <c r="Q725" s="59">
        <v>0</v>
      </c>
      <c r="R725" s="59">
        <v>0</v>
      </c>
      <c r="S725" s="35">
        <f t="shared" si="357"/>
        <v>32</v>
      </c>
      <c r="T725" s="59"/>
      <c r="U725" s="59">
        <v>6</v>
      </c>
      <c r="V725" s="59">
        <v>5</v>
      </c>
      <c r="W725" s="59">
        <v>0</v>
      </c>
      <c r="X725" s="5">
        <v>0</v>
      </c>
      <c r="Y725" s="10"/>
      <c r="Z725" s="61">
        <v>429242</v>
      </c>
      <c r="AA725" s="101"/>
      <c r="AB725" s="101"/>
      <c r="AC725" s="61">
        <v>1250490</v>
      </c>
      <c r="AD725" s="59"/>
      <c r="AE725" s="35">
        <f t="shared" si="354"/>
        <v>1250490</v>
      </c>
      <c r="AF725" s="10"/>
      <c r="AG725" s="61">
        <v>64</v>
      </c>
      <c r="AH725" s="59">
        <v>75</v>
      </c>
      <c r="AI725" s="59">
        <v>152</v>
      </c>
      <c r="AJ725" s="62"/>
      <c r="AK725" s="10"/>
      <c r="AL725" s="61">
        <v>0</v>
      </c>
      <c r="AM725" s="59">
        <v>36</v>
      </c>
      <c r="AN725" s="35">
        <f>SUM(AL725:AM725)</f>
        <v>36</v>
      </c>
      <c r="AO725" s="279"/>
      <c r="AP725" s="279"/>
      <c r="AQ725" s="281"/>
      <c r="AR725" s="59">
        <v>154</v>
      </c>
      <c r="AS725" s="59"/>
      <c r="AT725" s="59"/>
      <c r="AU725" s="59"/>
      <c r="AV725" s="62"/>
      <c r="AW725" s="10"/>
      <c r="AX725" s="326">
        <v>40815</v>
      </c>
      <c r="AY725" s="5">
        <v>-2</v>
      </c>
      <c r="AZ725" s="10"/>
      <c r="BA725" s="8">
        <v>1986</v>
      </c>
      <c r="BB725" s="296">
        <v>71028095</v>
      </c>
      <c r="BC725" s="296"/>
      <c r="BD725" s="318">
        <v>30152411</v>
      </c>
      <c r="BE725" s="296">
        <v>71</v>
      </c>
      <c r="BF725" s="296">
        <v>8</v>
      </c>
      <c r="BG725" s="296">
        <v>4</v>
      </c>
      <c r="BH725" s="30">
        <f>SUM(BE725:BG725)</f>
        <v>83</v>
      </c>
      <c r="BI725" s="296">
        <v>4491111</v>
      </c>
      <c r="BJ725" s="327">
        <v>40826</v>
      </c>
      <c r="BK725" s="327">
        <v>40830</v>
      </c>
      <c r="BL725" s="320">
        <f>BK725-BJ725</f>
        <v>4</v>
      </c>
      <c r="BM725" s="5"/>
      <c r="BN725" s="10"/>
      <c r="BO725" s="8"/>
      <c r="BP725" s="5">
        <v>166</v>
      </c>
      <c r="BQ725" s="10"/>
      <c r="BR725" s="29">
        <v>2012</v>
      </c>
      <c r="BS725" s="64">
        <v>2011</v>
      </c>
      <c r="BT725" s="14">
        <v>19</v>
      </c>
      <c r="BU725" s="10"/>
      <c r="BV725" s="8"/>
      <c r="BW725" s="59"/>
      <c r="BX725" s="59"/>
      <c r="BY725" s="59"/>
      <c r="BZ725" s="59"/>
      <c r="CA725" s="59"/>
      <c r="CB725" s="221"/>
      <c r="CC725" s="59"/>
      <c r="CD725" s="59">
        <v>6</v>
      </c>
      <c r="CE725" s="59">
        <v>1</v>
      </c>
      <c r="CF725" s="221"/>
      <c r="CG725" s="59"/>
      <c r="CH725" s="59"/>
      <c r="CI725" s="59">
        <v>10</v>
      </c>
      <c r="CJ725" s="59">
        <v>3</v>
      </c>
      <c r="CK725" s="59"/>
      <c r="CL725" s="59"/>
      <c r="CM725" s="59"/>
      <c r="CN725" s="59"/>
      <c r="CO725" s="59">
        <v>6</v>
      </c>
      <c r="CP725" s="221"/>
      <c r="CQ725" s="59"/>
      <c r="CR725" s="221"/>
      <c r="CS725" s="59">
        <v>2</v>
      </c>
      <c r="CT725" s="59">
        <v>1</v>
      </c>
      <c r="CU725" s="221"/>
      <c r="CV725" s="59">
        <v>1</v>
      </c>
      <c r="CW725" s="59"/>
      <c r="CX725" s="59"/>
      <c r="CY725" s="59"/>
      <c r="CZ725" s="59"/>
      <c r="DA725" s="59"/>
      <c r="DB725" s="59"/>
      <c r="DC725" s="59"/>
      <c r="DD725" s="59"/>
      <c r="DE725" s="59"/>
      <c r="DF725" s="59"/>
      <c r="DG725" s="59"/>
      <c r="DH725" s="59">
        <v>1</v>
      </c>
      <c r="DI725" s="59"/>
      <c r="DJ725" s="59">
        <v>1</v>
      </c>
      <c r="DK725" s="59"/>
      <c r="DL725" s="221"/>
      <c r="DM725" s="59"/>
      <c r="DN725" s="59"/>
      <c r="DO725" s="59"/>
      <c r="DP725" s="59"/>
      <c r="DQ725" s="59"/>
      <c r="DR725" s="59"/>
      <c r="DS725" s="59"/>
      <c r="DT725" s="59"/>
      <c r="DU725" s="59"/>
      <c r="DV725" s="38">
        <f t="shared" si="356"/>
        <v>32</v>
      </c>
      <c r="DW725" s="14" t="str">
        <f t="shared" si="355"/>
        <v/>
      </c>
      <c r="DY725" s="286">
        <f t="shared" si="358"/>
        <v>32</v>
      </c>
    </row>
    <row r="726" spans="1:130" s="286" customFormat="1">
      <c r="A726" s="210">
        <v>40831</v>
      </c>
      <c r="B726" s="211"/>
      <c r="C726" s="61">
        <v>1</v>
      </c>
      <c r="D726" s="59">
        <v>17</v>
      </c>
      <c r="E726" s="59">
        <v>5</v>
      </c>
      <c r="F726" s="59">
        <v>0</v>
      </c>
      <c r="G726" s="59">
        <v>1</v>
      </c>
      <c r="H726" s="59">
        <v>0</v>
      </c>
      <c r="I726" s="59">
        <v>0</v>
      </c>
      <c r="J726" s="59">
        <v>17</v>
      </c>
      <c r="K726" s="59">
        <v>8</v>
      </c>
      <c r="L726" s="59">
        <v>0</v>
      </c>
      <c r="M726" s="59">
        <v>0</v>
      </c>
      <c r="N726" s="59">
        <v>0</v>
      </c>
      <c r="O726" s="59">
        <v>1</v>
      </c>
      <c r="P726" s="59">
        <v>1</v>
      </c>
      <c r="Q726" s="59">
        <v>3</v>
      </c>
      <c r="R726" s="59">
        <v>0</v>
      </c>
      <c r="S726" s="35">
        <f t="shared" si="357"/>
        <v>54</v>
      </c>
      <c r="T726" s="59"/>
      <c r="U726" s="59">
        <v>4</v>
      </c>
      <c r="V726" s="59">
        <v>4</v>
      </c>
      <c r="W726" s="59">
        <v>0</v>
      </c>
      <c r="X726" s="5">
        <v>0</v>
      </c>
      <c r="Y726" s="10"/>
      <c r="Z726" s="61">
        <v>457055</v>
      </c>
      <c r="AA726" s="101"/>
      <c r="AB726" s="101"/>
      <c r="AC726" s="61">
        <v>1044380</v>
      </c>
      <c r="AD726" s="59"/>
      <c r="AE726" s="35">
        <f t="shared" si="354"/>
        <v>1044380</v>
      </c>
      <c r="AF726" s="10"/>
      <c r="AG726" s="61">
        <v>72</v>
      </c>
      <c r="AH726" s="59">
        <v>79</v>
      </c>
      <c r="AI726" s="59">
        <v>168</v>
      </c>
      <c r="AJ726" s="62"/>
      <c r="AK726" s="10"/>
      <c r="AL726" s="8"/>
      <c r="AM726" s="59"/>
      <c r="AN726" s="35"/>
      <c r="AO726" s="279"/>
      <c r="AP726" s="279"/>
      <c r="AQ726" s="281"/>
      <c r="AR726" s="59">
        <v>154</v>
      </c>
      <c r="AS726" s="59"/>
      <c r="AT726" s="59"/>
      <c r="AU726" s="59"/>
      <c r="AV726" s="62"/>
      <c r="AW726" s="10"/>
      <c r="AX726" s="326">
        <v>40829</v>
      </c>
      <c r="AY726" s="5">
        <v>-2</v>
      </c>
      <c r="AZ726" s="10"/>
      <c r="BA726" s="8"/>
      <c r="BB726" s="296"/>
      <c r="BC726" s="296"/>
      <c r="BD726" s="318"/>
      <c r="BE726" s="296"/>
      <c r="BF726" s="296"/>
      <c r="BG726" s="296"/>
      <c r="BH726" s="30"/>
      <c r="BI726" s="296"/>
      <c r="BJ726" s="327"/>
      <c r="BK726" s="327"/>
      <c r="BL726" s="320"/>
      <c r="BM726" s="5"/>
      <c r="BN726" s="10"/>
      <c r="BO726" s="8"/>
      <c r="BP726" s="5"/>
      <c r="BQ726" s="10"/>
      <c r="BR726" s="29">
        <v>2012</v>
      </c>
      <c r="BS726" s="64">
        <v>2011</v>
      </c>
      <c r="BT726" s="14">
        <v>20</v>
      </c>
      <c r="BU726" s="10"/>
      <c r="BV726" s="8">
        <v>3</v>
      </c>
      <c r="BW726" s="59"/>
      <c r="BX726" s="59">
        <v>4</v>
      </c>
      <c r="BY726" s="59"/>
      <c r="BZ726" s="59"/>
      <c r="CA726" s="59"/>
      <c r="CB726" s="221"/>
      <c r="CC726" s="59"/>
      <c r="CD726" s="59">
        <v>5</v>
      </c>
      <c r="CE726" s="59"/>
      <c r="CF726" s="221"/>
      <c r="CG726" s="59">
        <v>7</v>
      </c>
      <c r="CH726" s="59"/>
      <c r="CI726" s="59"/>
      <c r="CJ726" s="59">
        <v>7</v>
      </c>
      <c r="CK726" s="59"/>
      <c r="CL726" s="59"/>
      <c r="CM726" s="59"/>
      <c r="CN726" s="59"/>
      <c r="CO726" s="59">
        <v>4</v>
      </c>
      <c r="CP726" s="221"/>
      <c r="CQ726" s="59"/>
      <c r="CR726" s="221"/>
      <c r="CS726" s="59"/>
      <c r="CT726" s="59">
        <v>2</v>
      </c>
      <c r="CU726" s="221"/>
      <c r="CV726" s="59"/>
      <c r="CW726" s="59"/>
      <c r="CX726" s="59">
        <v>1</v>
      </c>
      <c r="CY726" s="59">
        <v>4</v>
      </c>
      <c r="CZ726" s="59"/>
      <c r="DA726" s="59"/>
      <c r="DB726" s="59">
        <v>2</v>
      </c>
      <c r="DC726" s="59"/>
      <c r="DD726" s="59"/>
      <c r="DE726" s="59"/>
      <c r="DF726" s="59"/>
      <c r="DG726" s="59">
        <v>2</v>
      </c>
      <c r="DH726" s="59"/>
      <c r="DI726" s="59"/>
      <c r="DJ726" s="59"/>
      <c r="DK726" s="59"/>
      <c r="DL726" s="221"/>
      <c r="DM726" s="59"/>
      <c r="DN726" s="59"/>
      <c r="DO726" s="59">
        <v>12</v>
      </c>
      <c r="DP726" s="59"/>
      <c r="DQ726" s="59"/>
      <c r="DR726" s="59">
        <v>1</v>
      </c>
      <c r="DS726" s="59"/>
      <c r="DT726" s="59"/>
      <c r="DU726" s="59"/>
      <c r="DV726" s="38">
        <f t="shared" si="356"/>
        <v>54</v>
      </c>
      <c r="DW726" s="14" t="str">
        <f t="shared" si="355"/>
        <v/>
      </c>
      <c r="DY726" s="286">
        <f t="shared" si="358"/>
        <v>54</v>
      </c>
    </row>
    <row r="727" spans="1:130" s="286" customFormat="1">
      <c r="A727" s="210">
        <v>40848</v>
      </c>
      <c r="B727" s="211"/>
      <c r="C727" s="61">
        <v>2</v>
      </c>
      <c r="D727" s="59">
        <v>30</v>
      </c>
      <c r="E727" s="59">
        <v>0</v>
      </c>
      <c r="F727" s="59">
        <v>0</v>
      </c>
      <c r="G727" s="59">
        <v>3</v>
      </c>
      <c r="H727" s="59">
        <v>0</v>
      </c>
      <c r="I727" s="59">
        <v>0</v>
      </c>
      <c r="J727" s="59">
        <v>19</v>
      </c>
      <c r="K727" s="59">
        <v>3</v>
      </c>
      <c r="L727" s="59">
        <v>0</v>
      </c>
      <c r="M727" s="59">
        <v>0</v>
      </c>
      <c r="N727" s="59">
        <v>0</v>
      </c>
      <c r="O727" s="59">
        <v>6</v>
      </c>
      <c r="P727" s="59">
        <v>0</v>
      </c>
      <c r="Q727" s="59">
        <v>0</v>
      </c>
      <c r="R727" s="59">
        <v>0</v>
      </c>
      <c r="S727" s="35">
        <f t="shared" si="357"/>
        <v>63</v>
      </c>
      <c r="T727" s="59"/>
      <c r="U727" s="59">
        <v>10</v>
      </c>
      <c r="V727" s="59">
        <v>10</v>
      </c>
      <c r="W727" s="59">
        <v>0</v>
      </c>
      <c r="X727" s="5">
        <v>0</v>
      </c>
      <c r="Y727" s="10"/>
      <c r="Z727" s="61">
        <v>396954</v>
      </c>
      <c r="AA727" s="101"/>
      <c r="AB727" s="101"/>
      <c r="AC727" s="61">
        <v>2707559</v>
      </c>
      <c r="AD727" s="59"/>
      <c r="AE727" s="35">
        <f t="shared" si="354"/>
        <v>2707559</v>
      </c>
      <c r="AF727" s="10"/>
      <c r="AG727" s="61">
        <v>162</v>
      </c>
      <c r="AH727" s="59">
        <v>27</v>
      </c>
      <c r="AI727" s="59">
        <v>206</v>
      </c>
      <c r="AJ727" s="62"/>
      <c r="AK727" s="10"/>
      <c r="AL727" s="8"/>
      <c r="AM727" s="10"/>
      <c r="AN727" s="35"/>
      <c r="AO727" s="279"/>
      <c r="AP727" s="279"/>
      <c r="AQ727" s="281"/>
      <c r="AR727" s="59">
        <v>155</v>
      </c>
      <c r="AS727" s="59">
        <v>105</v>
      </c>
      <c r="AT727" s="59">
        <v>177</v>
      </c>
      <c r="AU727" s="59">
        <v>21</v>
      </c>
      <c r="AV727" s="62">
        <v>351</v>
      </c>
      <c r="AW727" s="10"/>
      <c r="AX727" s="326">
        <v>40847</v>
      </c>
      <c r="AY727" s="5">
        <v>-1</v>
      </c>
      <c r="AZ727" s="10"/>
      <c r="BA727" s="8">
        <v>1983</v>
      </c>
      <c r="BB727" s="296">
        <v>71229875</v>
      </c>
      <c r="BC727" s="296"/>
      <c r="BD727" s="318"/>
      <c r="BE727" s="296">
        <v>86</v>
      </c>
      <c r="BF727" s="296">
        <v>8</v>
      </c>
      <c r="BG727" s="296">
        <v>11</v>
      </c>
      <c r="BH727" s="30">
        <f>SUM(BE727:BG727)</f>
        <v>105</v>
      </c>
      <c r="BI727" s="296">
        <v>4181720</v>
      </c>
      <c r="BJ727" s="327">
        <v>40857</v>
      </c>
      <c r="BK727" s="327">
        <v>40855</v>
      </c>
      <c r="BL727" s="320">
        <f>BK727-BJ727</f>
        <v>-2</v>
      </c>
      <c r="BM727" s="62"/>
      <c r="BN727" s="10"/>
      <c r="BO727" s="8"/>
      <c r="BP727" s="5">
        <v>166</v>
      </c>
      <c r="BQ727" s="10"/>
      <c r="BR727" s="29">
        <v>2012</v>
      </c>
      <c r="BS727" s="64">
        <v>2011</v>
      </c>
      <c r="BT727" s="14">
        <v>21</v>
      </c>
      <c r="BU727" s="10"/>
      <c r="BV727" s="8">
        <v>2</v>
      </c>
      <c r="BW727" s="59"/>
      <c r="BX727" s="59"/>
      <c r="BY727" s="59"/>
      <c r="BZ727" s="59"/>
      <c r="CA727" s="59">
        <v>2</v>
      </c>
      <c r="CB727" s="221"/>
      <c r="CC727" s="59"/>
      <c r="CD727" s="59">
        <v>5</v>
      </c>
      <c r="CE727" s="59">
        <v>1</v>
      </c>
      <c r="CF727" s="221"/>
      <c r="CG727" s="59"/>
      <c r="CH727" s="59"/>
      <c r="CI727" s="59">
        <v>12</v>
      </c>
      <c r="CJ727" s="59">
        <v>11</v>
      </c>
      <c r="CK727" s="59"/>
      <c r="CL727" s="59"/>
      <c r="CM727" s="59"/>
      <c r="CN727" s="59"/>
      <c r="CO727" s="59">
        <v>6</v>
      </c>
      <c r="CP727" s="221"/>
      <c r="CQ727" s="59"/>
      <c r="CR727" s="221"/>
      <c r="CS727" s="59"/>
      <c r="CT727" s="59">
        <v>1</v>
      </c>
      <c r="CU727" s="221"/>
      <c r="CV727" s="59">
        <v>4</v>
      </c>
      <c r="CW727" s="59"/>
      <c r="CX727" s="59"/>
      <c r="CY727" s="59">
        <v>8</v>
      </c>
      <c r="CZ727" s="59"/>
      <c r="DA727" s="59"/>
      <c r="DB727" s="59">
        <v>2</v>
      </c>
      <c r="DC727" s="59"/>
      <c r="DD727" s="59"/>
      <c r="DE727" s="59"/>
      <c r="DF727" s="59"/>
      <c r="DG727" s="59">
        <v>2</v>
      </c>
      <c r="DH727" s="59">
        <v>1</v>
      </c>
      <c r="DI727" s="59"/>
      <c r="DJ727" s="59"/>
      <c r="DK727" s="59"/>
      <c r="DL727" s="221"/>
      <c r="DM727" s="59">
        <v>1</v>
      </c>
      <c r="DN727" s="59"/>
      <c r="DO727" s="59">
        <v>5</v>
      </c>
      <c r="DP727" s="59"/>
      <c r="DQ727" s="59"/>
      <c r="DR727" s="59"/>
      <c r="DS727" s="59"/>
      <c r="DT727" s="59"/>
      <c r="DU727" s="59"/>
      <c r="DV727" s="38">
        <f t="shared" si="356"/>
        <v>63</v>
      </c>
      <c r="DW727" s="14" t="str">
        <f t="shared" si="355"/>
        <v/>
      </c>
      <c r="DY727" s="286">
        <f t="shared" si="358"/>
        <v>63</v>
      </c>
    </row>
    <row r="728" spans="1:130" s="286" customFormat="1">
      <c r="A728" s="210">
        <v>40862</v>
      </c>
      <c r="B728" s="211"/>
      <c r="C728" s="61">
        <v>0</v>
      </c>
      <c r="D728" s="59">
        <v>17</v>
      </c>
      <c r="E728" s="59">
        <v>0</v>
      </c>
      <c r="F728" s="59">
        <v>0</v>
      </c>
      <c r="G728" s="59">
        <v>0</v>
      </c>
      <c r="H728" s="59">
        <v>0</v>
      </c>
      <c r="I728" s="59">
        <v>0</v>
      </c>
      <c r="J728" s="59">
        <v>17</v>
      </c>
      <c r="K728" s="59">
        <v>2</v>
      </c>
      <c r="L728" s="59">
        <v>0</v>
      </c>
      <c r="M728" s="59">
        <v>0</v>
      </c>
      <c r="N728" s="59">
        <v>0</v>
      </c>
      <c r="O728" s="59">
        <v>1</v>
      </c>
      <c r="P728" s="59">
        <v>0</v>
      </c>
      <c r="Q728" s="59">
        <v>0</v>
      </c>
      <c r="R728" s="59">
        <v>0</v>
      </c>
      <c r="S728" s="35">
        <f t="shared" si="357"/>
        <v>37</v>
      </c>
      <c r="T728" s="59"/>
      <c r="U728" s="59">
        <v>8</v>
      </c>
      <c r="V728" s="59">
        <v>8</v>
      </c>
      <c r="W728" s="59">
        <v>0</v>
      </c>
      <c r="X728" s="5">
        <v>1</v>
      </c>
      <c r="Y728" s="10"/>
      <c r="Z728" s="61">
        <v>502566</v>
      </c>
      <c r="AA728" s="101"/>
      <c r="AB728" s="101"/>
      <c r="AC728" s="61">
        <v>870832</v>
      </c>
      <c r="AD728" s="59"/>
      <c r="AE728" s="35">
        <f t="shared" si="354"/>
        <v>870832</v>
      </c>
      <c r="AF728" s="10"/>
      <c r="AG728" s="61">
        <v>73</v>
      </c>
      <c r="AH728" s="59">
        <v>94</v>
      </c>
      <c r="AI728" s="59">
        <v>174</v>
      </c>
      <c r="AJ728" s="62"/>
      <c r="AK728" s="10"/>
      <c r="AL728" s="8"/>
      <c r="AM728" s="10"/>
      <c r="AN728" s="35"/>
      <c r="AO728" s="279"/>
      <c r="AP728" s="279"/>
      <c r="AQ728" s="281"/>
      <c r="AR728" s="59">
        <v>157</v>
      </c>
      <c r="AS728" s="59"/>
      <c r="AT728" s="59"/>
      <c r="AU728" s="59"/>
      <c r="AV728" s="62"/>
      <c r="AW728" s="10"/>
      <c r="AX728" s="326">
        <v>40857</v>
      </c>
      <c r="AY728" s="5">
        <v>-5</v>
      </c>
      <c r="AZ728" s="10"/>
      <c r="BA728" s="61"/>
      <c r="BB728" s="59"/>
      <c r="BC728" s="59"/>
      <c r="BD728" s="59"/>
      <c r="BE728" s="59"/>
      <c r="BF728" s="59"/>
      <c r="BG728" s="59"/>
      <c r="BH728" s="351"/>
      <c r="BI728" s="102"/>
      <c r="BJ728" s="344"/>
      <c r="BK728" s="344"/>
      <c r="BL728" s="321"/>
      <c r="BM728" s="62"/>
      <c r="BN728" s="10"/>
      <c r="BO728" s="8"/>
      <c r="BP728" s="62"/>
      <c r="BQ728" s="10"/>
      <c r="BR728" s="29">
        <v>2012</v>
      </c>
      <c r="BS728" s="64">
        <v>2011</v>
      </c>
      <c r="BT728" s="14">
        <v>22</v>
      </c>
      <c r="BU728" s="10"/>
      <c r="BV728" s="8"/>
      <c r="BW728" s="59"/>
      <c r="BX728" s="59"/>
      <c r="BY728" s="59"/>
      <c r="BZ728" s="59"/>
      <c r="CA728" s="59"/>
      <c r="CB728" s="221"/>
      <c r="CC728" s="59"/>
      <c r="CD728" s="59">
        <v>5</v>
      </c>
      <c r="CE728" s="59"/>
      <c r="CF728" s="221"/>
      <c r="CG728" s="59"/>
      <c r="CH728" s="59"/>
      <c r="CI728" s="59">
        <v>4</v>
      </c>
      <c r="CJ728" s="59"/>
      <c r="CK728" s="59"/>
      <c r="CL728" s="59"/>
      <c r="CM728" s="59"/>
      <c r="CN728" s="59"/>
      <c r="CO728" s="59">
        <v>5</v>
      </c>
      <c r="CP728" s="221"/>
      <c r="CQ728" s="59"/>
      <c r="CR728" s="221"/>
      <c r="CS728" s="59"/>
      <c r="CT728" s="59"/>
      <c r="CU728" s="221"/>
      <c r="CV728" s="59">
        <v>2</v>
      </c>
      <c r="CW728" s="59"/>
      <c r="CX728" s="59"/>
      <c r="CY728" s="59">
        <v>1</v>
      </c>
      <c r="CZ728" s="59"/>
      <c r="DA728" s="59"/>
      <c r="DB728" s="59"/>
      <c r="DC728" s="59"/>
      <c r="DD728" s="59"/>
      <c r="DE728" s="59"/>
      <c r="DF728" s="59"/>
      <c r="DG728" s="59">
        <v>1</v>
      </c>
      <c r="DH728" s="59"/>
      <c r="DI728" s="59"/>
      <c r="DJ728" s="59">
        <v>2</v>
      </c>
      <c r="DK728" s="59"/>
      <c r="DL728" s="221"/>
      <c r="DM728" s="59">
        <v>7</v>
      </c>
      <c r="DN728" s="59"/>
      <c r="DO728" s="59">
        <v>9</v>
      </c>
      <c r="DP728" s="59"/>
      <c r="DQ728" s="59"/>
      <c r="DR728" s="59"/>
      <c r="DS728" s="59">
        <v>1</v>
      </c>
      <c r="DT728" s="59"/>
      <c r="DU728" s="59"/>
      <c r="DV728" s="38">
        <f t="shared" si="356"/>
        <v>37</v>
      </c>
      <c r="DW728" s="14" t="str">
        <f t="shared" si="355"/>
        <v/>
      </c>
      <c r="DY728" s="286">
        <f t="shared" si="358"/>
        <v>37</v>
      </c>
    </row>
    <row r="729" spans="1:130" s="286" customFormat="1">
      <c r="A729" s="210">
        <v>40878</v>
      </c>
      <c r="B729" s="211"/>
      <c r="C729" s="61">
        <v>2</v>
      </c>
      <c r="D729" s="59">
        <v>33</v>
      </c>
      <c r="E729" s="59">
        <v>3</v>
      </c>
      <c r="F729" s="59">
        <v>0</v>
      </c>
      <c r="G729" s="59">
        <v>0</v>
      </c>
      <c r="H729" s="59">
        <v>0</v>
      </c>
      <c r="I729" s="59">
        <v>0</v>
      </c>
      <c r="J729" s="59">
        <v>13</v>
      </c>
      <c r="K729" s="59">
        <v>0</v>
      </c>
      <c r="L729" s="59">
        <v>0</v>
      </c>
      <c r="M729" s="59">
        <v>0</v>
      </c>
      <c r="N729" s="59">
        <v>0</v>
      </c>
      <c r="O729" s="59">
        <v>2</v>
      </c>
      <c r="P729" s="59">
        <v>0</v>
      </c>
      <c r="Q729" s="59">
        <v>0</v>
      </c>
      <c r="R729" s="59">
        <v>0</v>
      </c>
      <c r="S729" s="35">
        <f t="shared" si="357"/>
        <v>53</v>
      </c>
      <c r="T729" s="59"/>
      <c r="U729" s="59">
        <v>14</v>
      </c>
      <c r="V729" s="59">
        <v>8</v>
      </c>
      <c r="W729" s="59">
        <v>0</v>
      </c>
      <c r="X729" s="5">
        <v>0</v>
      </c>
      <c r="Y729" s="10"/>
      <c r="Z729" s="61">
        <v>581771</v>
      </c>
      <c r="AA729" s="101"/>
      <c r="AB729" s="101"/>
      <c r="AC729" s="61">
        <v>1923347</v>
      </c>
      <c r="AD729" s="59"/>
      <c r="AE729" s="35">
        <f t="shared" si="354"/>
        <v>1923347</v>
      </c>
      <c r="AF729" s="10"/>
      <c r="AG729" s="61">
        <v>100</v>
      </c>
      <c r="AH729" s="59">
        <v>96</v>
      </c>
      <c r="AI729" s="59">
        <v>214</v>
      </c>
      <c r="AJ729" s="62"/>
      <c r="AK729" s="10"/>
      <c r="AL729" s="8"/>
      <c r="AM729" s="10"/>
      <c r="AN729" s="35"/>
      <c r="AO729" s="279"/>
      <c r="AP729" s="279"/>
      <c r="AQ729" s="281"/>
      <c r="AR729" s="59">
        <v>157</v>
      </c>
      <c r="AS729" s="59">
        <v>106</v>
      </c>
      <c r="AT729" s="59">
        <v>179</v>
      </c>
      <c r="AU729" s="59">
        <v>21</v>
      </c>
      <c r="AV729" s="62">
        <v>354</v>
      </c>
      <c r="AW729" s="10"/>
      <c r="AX729" s="326">
        <v>40877</v>
      </c>
      <c r="AY729" s="5">
        <v>-1</v>
      </c>
      <c r="AZ729" s="10"/>
      <c r="BA729" s="8">
        <v>1981</v>
      </c>
      <c r="BB729" s="298">
        <v>70977768</v>
      </c>
      <c r="BC729" s="298"/>
      <c r="BD729" s="318"/>
      <c r="BE729" s="298">
        <v>63</v>
      </c>
      <c r="BF729" s="298">
        <v>5</v>
      </c>
      <c r="BG729" s="298">
        <v>7</v>
      </c>
      <c r="BH729" s="30">
        <f>SUM(BE729:BG729)</f>
        <v>75</v>
      </c>
      <c r="BI729" s="298">
        <v>2741199</v>
      </c>
      <c r="BJ729" s="327">
        <v>40887</v>
      </c>
      <c r="BK729" s="327">
        <v>40899</v>
      </c>
      <c r="BL729" s="320">
        <f>BK729-BJ729</f>
        <v>12</v>
      </c>
      <c r="BM729" s="62"/>
      <c r="BN729" s="10"/>
      <c r="BO729" s="8"/>
      <c r="BP729" s="5">
        <v>166</v>
      </c>
      <c r="BQ729" s="10"/>
      <c r="BR729" s="29">
        <v>2012</v>
      </c>
      <c r="BS729" s="64">
        <v>2011</v>
      </c>
      <c r="BT729" s="14">
        <v>23</v>
      </c>
      <c r="BU729" s="10"/>
      <c r="BV729" s="8"/>
      <c r="BW729" s="59"/>
      <c r="BX729" s="59"/>
      <c r="BY729" s="59">
        <v>1</v>
      </c>
      <c r="BZ729" s="59"/>
      <c r="CA729" s="59"/>
      <c r="CB729" s="221"/>
      <c r="CC729" s="59"/>
      <c r="CD729" s="59">
        <v>5</v>
      </c>
      <c r="CE729" s="59">
        <v>7</v>
      </c>
      <c r="CF729" s="221"/>
      <c r="CG729" s="59"/>
      <c r="CH729" s="59"/>
      <c r="CI729" s="59">
        <v>7</v>
      </c>
      <c r="CJ729" s="59">
        <v>9</v>
      </c>
      <c r="CK729" s="59"/>
      <c r="CL729" s="59"/>
      <c r="CM729" s="59"/>
      <c r="CN729" s="59"/>
      <c r="CO729" s="59">
        <v>3</v>
      </c>
      <c r="CP729" s="221"/>
      <c r="CQ729" s="59"/>
      <c r="CR729" s="221"/>
      <c r="CS729" s="59">
        <v>1</v>
      </c>
      <c r="CT729" s="59">
        <v>1</v>
      </c>
      <c r="CU729" s="221"/>
      <c r="CV729" s="59"/>
      <c r="CW729" s="59"/>
      <c r="CX729" s="59"/>
      <c r="CY729" s="59">
        <v>1</v>
      </c>
      <c r="CZ729" s="59"/>
      <c r="DA729" s="59"/>
      <c r="DB729" s="59">
        <v>5</v>
      </c>
      <c r="DC729" s="59"/>
      <c r="DD729" s="59"/>
      <c r="DE729" s="59"/>
      <c r="DF729" s="59"/>
      <c r="DG729" s="59"/>
      <c r="DH729" s="59"/>
      <c r="DI729" s="59"/>
      <c r="DJ729" s="59"/>
      <c r="DK729" s="59"/>
      <c r="DL729" s="221"/>
      <c r="DM729" s="59"/>
      <c r="DN729" s="59"/>
      <c r="DO729" s="59">
        <v>11</v>
      </c>
      <c r="DP729" s="59"/>
      <c r="DQ729" s="59"/>
      <c r="DR729" s="59"/>
      <c r="DS729" s="59">
        <v>2</v>
      </c>
      <c r="DT729" s="59"/>
      <c r="DU729" s="59"/>
      <c r="DV729" s="38">
        <f t="shared" si="356"/>
        <v>53</v>
      </c>
      <c r="DW729" s="14" t="str">
        <f t="shared" si="355"/>
        <v/>
      </c>
      <c r="DY729" s="286">
        <f t="shared" si="358"/>
        <v>53</v>
      </c>
    </row>
    <row r="730" spans="1:130" s="286" customFormat="1">
      <c r="A730" s="210">
        <v>40892</v>
      </c>
      <c r="B730" s="211"/>
      <c r="C730" s="61">
        <v>1</v>
      </c>
      <c r="D730" s="59">
        <v>24</v>
      </c>
      <c r="E730" s="59">
        <v>1</v>
      </c>
      <c r="F730" s="59">
        <v>0</v>
      </c>
      <c r="G730" s="59">
        <v>1</v>
      </c>
      <c r="H730" s="59">
        <v>0</v>
      </c>
      <c r="I730" s="59">
        <v>0</v>
      </c>
      <c r="J730" s="59">
        <v>14</v>
      </c>
      <c r="K730" s="59">
        <v>0</v>
      </c>
      <c r="L730" s="59">
        <v>0</v>
      </c>
      <c r="M730" s="59">
        <v>0</v>
      </c>
      <c r="N730" s="59">
        <v>0</v>
      </c>
      <c r="O730" s="59">
        <v>9</v>
      </c>
      <c r="P730" s="59">
        <v>0</v>
      </c>
      <c r="Q730" s="59">
        <v>0</v>
      </c>
      <c r="R730" s="59">
        <v>0</v>
      </c>
      <c r="S730" s="35">
        <f t="shared" si="357"/>
        <v>50</v>
      </c>
      <c r="T730" s="59"/>
      <c r="U730" s="59">
        <v>8</v>
      </c>
      <c r="V730" s="59">
        <v>6</v>
      </c>
      <c r="W730" s="59">
        <v>0</v>
      </c>
      <c r="X730" s="5">
        <v>0</v>
      </c>
      <c r="Y730" s="59"/>
      <c r="Z730" s="61">
        <v>580752</v>
      </c>
      <c r="AA730" s="101"/>
      <c r="AB730" s="101"/>
      <c r="AC730" s="61">
        <v>1735912</v>
      </c>
      <c r="AD730" s="59"/>
      <c r="AE730" s="35">
        <f t="shared" si="354"/>
        <v>1735912</v>
      </c>
      <c r="AF730" s="10"/>
      <c r="AG730" s="61">
        <v>91</v>
      </c>
      <c r="AH730" s="59">
        <v>99</v>
      </c>
      <c r="AI730" s="59">
        <v>204</v>
      </c>
      <c r="AJ730" s="62"/>
      <c r="AK730" s="10"/>
      <c r="AL730" s="8"/>
      <c r="AM730" s="10"/>
      <c r="AN730" s="35"/>
      <c r="AO730" s="279"/>
      <c r="AP730" s="279"/>
      <c r="AQ730" s="281"/>
      <c r="AR730" s="59">
        <v>155</v>
      </c>
      <c r="AS730" s="59"/>
      <c r="AT730" s="59"/>
      <c r="AU730" s="59"/>
      <c r="AV730" s="62"/>
      <c r="AW730" s="10"/>
      <c r="AX730" s="326">
        <v>40890</v>
      </c>
      <c r="AY730" s="5">
        <v>-2</v>
      </c>
      <c r="AZ730" s="10"/>
      <c r="BA730" s="8"/>
      <c r="BB730" s="298"/>
      <c r="BC730" s="298"/>
      <c r="BD730" s="318"/>
      <c r="BE730" s="298"/>
      <c r="BF730" s="298"/>
      <c r="BG730" s="298"/>
      <c r="BH730" s="30"/>
      <c r="BI730" s="298"/>
      <c r="BJ730" s="327"/>
      <c r="BK730" s="327"/>
      <c r="BL730" s="320"/>
      <c r="BM730" s="62"/>
      <c r="BN730" s="10"/>
      <c r="BO730" s="8"/>
      <c r="BP730" s="5"/>
      <c r="BQ730" s="10"/>
      <c r="BR730" s="29">
        <v>2012</v>
      </c>
      <c r="BS730" s="64">
        <v>2011</v>
      </c>
      <c r="BT730" s="14">
        <v>24</v>
      </c>
      <c r="BU730" s="10"/>
      <c r="BV730" s="8"/>
      <c r="BW730" s="59"/>
      <c r="BX730" s="59"/>
      <c r="BY730" s="59"/>
      <c r="BZ730" s="59"/>
      <c r="CA730" s="59"/>
      <c r="CB730" s="221"/>
      <c r="CC730" s="59"/>
      <c r="CD730" s="59">
        <v>4</v>
      </c>
      <c r="CE730" s="59"/>
      <c r="CF730" s="221"/>
      <c r="CG730" s="59"/>
      <c r="CH730" s="59"/>
      <c r="CI730" s="59"/>
      <c r="CJ730" s="59">
        <v>3</v>
      </c>
      <c r="CK730" s="59">
        <v>1</v>
      </c>
      <c r="CL730" s="59"/>
      <c r="CM730" s="59"/>
      <c r="CN730" s="59"/>
      <c r="CO730" s="59">
        <v>29</v>
      </c>
      <c r="CP730" s="221"/>
      <c r="CQ730" s="59"/>
      <c r="CR730" s="221"/>
      <c r="CS730" s="59"/>
      <c r="CT730" s="59">
        <v>3</v>
      </c>
      <c r="CU730" s="221"/>
      <c r="CV730" s="59">
        <v>4</v>
      </c>
      <c r="CW730" s="59"/>
      <c r="CX730" s="59">
        <v>1</v>
      </c>
      <c r="CY730" s="59"/>
      <c r="CZ730" s="59"/>
      <c r="DA730" s="59"/>
      <c r="DB730" s="59">
        <v>1</v>
      </c>
      <c r="DC730" s="59"/>
      <c r="DD730" s="59"/>
      <c r="DE730" s="59"/>
      <c r="DF730" s="59"/>
      <c r="DG730" s="59">
        <v>1</v>
      </c>
      <c r="DH730" s="59"/>
      <c r="DI730" s="59"/>
      <c r="DJ730" s="59"/>
      <c r="DK730" s="59"/>
      <c r="DL730" s="221"/>
      <c r="DM730" s="59"/>
      <c r="DN730" s="59"/>
      <c r="DO730" s="59">
        <v>1</v>
      </c>
      <c r="DP730" s="59"/>
      <c r="DQ730" s="59"/>
      <c r="DR730" s="59"/>
      <c r="DS730" s="59">
        <v>2</v>
      </c>
      <c r="DT730" s="59"/>
      <c r="DU730" s="59"/>
      <c r="DV730" s="38">
        <f t="shared" si="356"/>
        <v>50</v>
      </c>
      <c r="DW730" s="14" t="str">
        <f t="shared" si="355"/>
        <v/>
      </c>
      <c r="DY730" s="286">
        <f t="shared" si="358"/>
        <v>50</v>
      </c>
      <c r="DZ730" s="286" t="str">
        <f t="shared" ref="DZ730:DZ742" si="359">IF(DV730-DY730=0,"",DV730-DY730)</f>
        <v/>
      </c>
    </row>
    <row r="731" spans="1:130" s="286" customFormat="1">
      <c r="A731" s="210">
        <v>40909</v>
      </c>
      <c r="B731" s="211"/>
      <c r="C731" s="8">
        <v>2</v>
      </c>
      <c r="D731" s="297">
        <v>19</v>
      </c>
      <c r="E731" s="297">
        <v>3</v>
      </c>
      <c r="F731" s="297">
        <v>1</v>
      </c>
      <c r="G731" s="297">
        <v>1</v>
      </c>
      <c r="H731" s="297">
        <v>1</v>
      </c>
      <c r="I731" s="297">
        <v>0</v>
      </c>
      <c r="J731" s="297">
        <v>9</v>
      </c>
      <c r="K731" s="297">
        <v>0</v>
      </c>
      <c r="L731" s="297">
        <v>1</v>
      </c>
      <c r="M731" s="297">
        <v>0</v>
      </c>
      <c r="N731" s="297">
        <v>0</v>
      </c>
      <c r="O731" s="297">
        <v>2</v>
      </c>
      <c r="P731" s="297">
        <v>2</v>
      </c>
      <c r="Q731" s="297">
        <v>0</v>
      </c>
      <c r="R731" s="297">
        <v>0</v>
      </c>
      <c r="S731" s="35">
        <f t="shared" si="357"/>
        <v>41</v>
      </c>
      <c r="T731" s="297"/>
      <c r="U731" s="297">
        <v>6</v>
      </c>
      <c r="V731" s="297">
        <v>6</v>
      </c>
      <c r="W731" s="297">
        <v>0</v>
      </c>
      <c r="X731" s="297">
        <v>0</v>
      </c>
      <c r="Y731" s="30"/>
      <c r="Z731" s="297">
        <v>579981</v>
      </c>
      <c r="AA731" s="297"/>
      <c r="AB731" s="297"/>
      <c r="AC731" s="8">
        <v>1377366</v>
      </c>
      <c r="AD731" s="297"/>
      <c r="AE731" s="35">
        <f t="shared" si="354"/>
        <v>1377366</v>
      </c>
      <c r="AF731" s="297"/>
      <c r="AG731" s="8">
        <v>61</v>
      </c>
      <c r="AH731" s="297">
        <v>106</v>
      </c>
      <c r="AI731" s="297">
        <v>192</v>
      </c>
      <c r="AJ731" s="62"/>
      <c r="AK731" s="10"/>
      <c r="AL731" s="61">
        <v>0</v>
      </c>
      <c r="AM731" s="59">
        <v>36</v>
      </c>
      <c r="AN731" s="35">
        <f>SUM(AL731:AM731)</f>
        <v>36</v>
      </c>
      <c r="AO731" s="279"/>
      <c r="AP731" s="279"/>
      <c r="AQ731" s="281"/>
      <c r="AR731" s="59">
        <v>154</v>
      </c>
      <c r="AS731" s="59">
        <v>106</v>
      </c>
      <c r="AT731" s="59">
        <v>180</v>
      </c>
      <c r="AU731" s="59">
        <v>21</v>
      </c>
      <c r="AV731" s="62">
        <v>355</v>
      </c>
      <c r="AW731" s="10"/>
      <c r="AX731" s="326">
        <v>40907</v>
      </c>
      <c r="AY731" s="5">
        <v>-2</v>
      </c>
      <c r="AZ731" s="10"/>
      <c r="BA731" s="8">
        <v>1981</v>
      </c>
      <c r="BB731" s="313">
        <v>71142254</v>
      </c>
      <c r="BC731" s="298"/>
      <c r="BD731" s="318">
        <v>30244299</v>
      </c>
      <c r="BE731" s="298">
        <v>75</v>
      </c>
      <c r="BF731" s="298">
        <v>3</v>
      </c>
      <c r="BG731" s="298">
        <v>2</v>
      </c>
      <c r="BH731" s="30">
        <f>SUM(BE731:BG731)</f>
        <v>80</v>
      </c>
      <c r="BI731" s="298">
        <v>3825776</v>
      </c>
      <c r="BJ731" s="327">
        <v>40918</v>
      </c>
      <c r="BK731" s="327">
        <v>40927</v>
      </c>
      <c r="BL731" s="320">
        <f>BK731-BJ731</f>
        <v>9</v>
      </c>
      <c r="BM731" s="62"/>
      <c r="BN731" s="10"/>
      <c r="BO731" s="8"/>
      <c r="BP731" s="5">
        <v>166</v>
      </c>
      <c r="BQ731" s="10"/>
      <c r="BR731" s="29">
        <v>2012</v>
      </c>
      <c r="BS731" s="64">
        <v>2012</v>
      </c>
      <c r="BT731" s="14">
        <v>1</v>
      </c>
      <c r="BU731" s="10"/>
      <c r="BV731" s="8"/>
      <c r="BW731" s="59"/>
      <c r="BX731" s="59"/>
      <c r="BY731" s="59"/>
      <c r="BZ731" s="59"/>
      <c r="CA731" s="59"/>
      <c r="CB731" s="221"/>
      <c r="CC731" s="59"/>
      <c r="CD731" s="59"/>
      <c r="CE731" s="59"/>
      <c r="CF731" s="221"/>
      <c r="CG731" s="59">
        <v>1</v>
      </c>
      <c r="CH731" s="59"/>
      <c r="CI731" s="59">
        <v>7</v>
      </c>
      <c r="CJ731" s="59">
        <v>3</v>
      </c>
      <c r="CK731" s="59"/>
      <c r="CL731" s="59"/>
      <c r="CM731" s="59">
        <v>2</v>
      </c>
      <c r="CN731" s="59"/>
      <c r="CO731" s="59"/>
      <c r="CP731" s="221"/>
      <c r="CQ731" s="59"/>
      <c r="CR731" s="221"/>
      <c r="CS731" s="59"/>
      <c r="CT731" s="59">
        <v>2</v>
      </c>
      <c r="CU731" s="221"/>
      <c r="CV731" s="59">
        <v>1</v>
      </c>
      <c r="CW731" s="59"/>
      <c r="CX731" s="59"/>
      <c r="CY731" s="59"/>
      <c r="CZ731" s="59"/>
      <c r="DA731" s="59"/>
      <c r="DB731" s="59">
        <v>2</v>
      </c>
      <c r="DC731" s="59"/>
      <c r="DD731" s="59"/>
      <c r="DE731" s="59">
        <v>1</v>
      </c>
      <c r="DF731" s="59"/>
      <c r="DG731" s="59">
        <v>5</v>
      </c>
      <c r="DH731" s="59">
        <v>5</v>
      </c>
      <c r="DI731" s="59"/>
      <c r="DJ731" s="59">
        <v>3</v>
      </c>
      <c r="DK731" s="59"/>
      <c r="DL731" s="221"/>
      <c r="DM731" s="59">
        <v>5</v>
      </c>
      <c r="DN731" s="59"/>
      <c r="DO731" s="59">
        <v>3</v>
      </c>
      <c r="DP731" s="59"/>
      <c r="DQ731" s="59"/>
      <c r="DR731" s="59"/>
      <c r="DS731" s="59">
        <v>1</v>
      </c>
      <c r="DT731" s="59"/>
      <c r="DU731" s="59"/>
      <c r="DV731" s="38">
        <f t="shared" si="356"/>
        <v>41</v>
      </c>
      <c r="DW731" s="14" t="str">
        <f t="shared" si="355"/>
        <v/>
      </c>
      <c r="DY731" s="286">
        <f t="shared" si="358"/>
        <v>41</v>
      </c>
      <c r="DZ731" s="286" t="str">
        <f t="shared" si="359"/>
        <v/>
      </c>
    </row>
    <row r="732" spans="1:130" s="286" customFormat="1">
      <c r="A732" s="210">
        <v>40923</v>
      </c>
      <c r="B732" s="211"/>
      <c r="C732" s="8">
        <v>4</v>
      </c>
      <c r="D732" s="297">
        <v>20</v>
      </c>
      <c r="E732" s="297">
        <v>4</v>
      </c>
      <c r="F732" s="297">
        <v>1</v>
      </c>
      <c r="G732" s="297">
        <v>0</v>
      </c>
      <c r="H732" s="297">
        <v>2</v>
      </c>
      <c r="I732" s="297">
        <v>0</v>
      </c>
      <c r="J732" s="297">
        <v>35</v>
      </c>
      <c r="K732" s="297">
        <v>0</v>
      </c>
      <c r="L732" s="297">
        <v>1</v>
      </c>
      <c r="M732" s="297">
        <v>0</v>
      </c>
      <c r="N732" s="297">
        <v>0</v>
      </c>
      <c r="O732" s="297">
        <v>1</v>
      </c>
      <c r="P732" s="297">
        <v>1</v>
      </c>
      <c r="Q732" s="297">
        <v>0</v>
      </c>
      <c r="R732" s="297">
        <v>0</v>
      </c>
      <c r="S732" s="35">
        <f t="shared" si="357"/>
        <v>69</v>
      </c>
      <c r="T732" s="297"/>
      <c r="U732" s="297">
        <v>16</v>
      </c>
      <c r="V732" s="297">
        <v>13</v>
      </c>
      <c r="W732" s="297">
        <v>0</v>
      </c>
      <c r="X732" s="297">
        <v>1</v>
      </c>
      <c r="Y732" s="30"/>
      <c r="Z732" s="297">
        <v>392408</v>
      </c>
      <c r="AA732" s="297"/>
      <c r="AB732" s="297"/>
      <c r="AC732" s="8">
        <v>2381831</v>
      </c>
      <c r="AD732" s="297"/>
      <c r="AE732" s="35">
        <f t="shared" si="354"/>
        <v>2381831</v>
      </c>
      <c r="AF732" s="297"/>
      <c r="AG732" s="8">
        <v>139</v>
      </c>
      <c r="AH732" s="297">
        <v>35</v>
      </c>
      <c r="AI732" s="297">
        <v>192</v>
      </c>
      <c r="AJ732" s="62"/>
      <c r="AK732" s="10"/>
      <c r="AL732" s="8"/>
      <c r="AM732" s="10"/>
      <c r="AN732" s="35"/>
      <c r="AO732" s="279"/>
      <c r="AP732" s="279"/>
      <c r="AQ732" s="281"/>
      <c r="AR732" s="59">
        <v>153</v>
      </c>
      <c r="AS732" s="59">
        <v>106</v>
      </c>
      <c r="AT732" s="59">
        <v>180</v>
      </c>
      <c r="AU732" s="59">
        <v>21</v>
      </c>
      <c r="AV732" s="62">
        <v>355</v>
      </c>
      <c r="AW732" s="10"/>
      <c r="AX732" s="326">
        <v>40921</v>
      </c>
      <c r="AY732" s="5">
        <v>-2</v>
      </c>
      <c r="AZ732" s="10"/>
      <c r="BA732" s="61"/>
      <c r="BB732" s="59"/>
      <c r="BC732" s="59"/>
      <c r="BD732" s="59"/>
      <c r="BE732" s="59"/>
      <c r="BF732" s="59"/>
      <c r="BG732" s="59"/>
      <c r="BH732" s="351"/>
      <c r="BI732" s="59"/>
      <c r="BJ732" s="342"/>
      <c r="BK732" s="342"/>
      <c r="BL732" s="320"/>
      <c r="BM732" s="62"/>
      <c r="BN732" s="10"/>
      <c r="BO732" s="8"/>
      <c r="BP732" s="62"/>
      <c r="BQ732" s="10"/>
      <c r="BR732" s="29">
        <v>2012</v>
      </c>
      <c r="BS732" s="64">
        <v>2012</v>
      </c>
      <c r="BT732" s="14">
        <v>2</v>
      </c>
      <c r="BU732" s="10"/>
      <c r="BV732" s="8">
        <v>2</v>
      </c>
      <c r="BW732" s="59">
        <v>2</v>
      </c>
      <c r="BX732" s="59">
        <v>1</v>
      </c>
      <c r="BY732" s="59">
        <v>1</v>
      </c>
      <c r="BZ732" s="59"/>
      <c r="CA732" s="59">
        <v>2</v>
      </c>
      <c r="CB732" s="221"/>
      <c r="CC732" s="59">
        <v>1</v>
      </c>
      <c r="CD732" s="59">
        <v>3</v>
      </c>
      <c r="CE732" s="59">
        <v>2</v>
      </c>
      <c r="CF732" s="221"/>
      <c r="CG732" s="59"/>
      <c r="CH732" s="59"/>
      <c r="CI732" s="59">
        <v>1</v>
      </c>
      <c r="CJ732" s="59"/>
      <c r="CK732" s="59"/>
      <c r="CL732" s="59"/>
      <c r="CM732" s="59"/>
      <c r="CN732" s="59"/>
      <c r="CO732" s="59">
        <v>12</v>
      </c>
      <c r="CP732" s="221"/>
      <c r="CQ732" s="59"/>
      <c r="CR732" s="221"/>
      <c r="CS732" s="59"/>
      <c r="CT732" s="59">
        <v>6</v>
      </c>
      <c r="CU732" s="221"/>
      <c r="CV732" s="59">
        <v>8</v>
      </c>
      <c r="CW732" s="59"/>
      <c r="CX732" s="59"/>
      <c r="CY732" s="59"/>
      <c r="CZ732" s="59"/>
      <c r="DA732" s="59"/>
      <c r="DB732" s="59"/>
      <c r="DC732" s="59">
        <v>1</v>
      </c>
      <c r="DD732" s="59"/>
      <c r="DE732" s="59"/>
      <c r="DF732" s="59"/>
      <c r="DG732" s="59">
        <v>11</v>
      </c>
      <c r="DH732" s="59"/>
      <c r="DI732" s="59"/>
      <c r="DJ732" s="59"/>
      <c r="DK732" s="59"/>
      <c r="DL732" s="221"/>
      <c r="DM732" s="59">
        <v>15</v>
      </c>
      <c r="DN732" s="59"/>
      <c r="DO732" s="59"/>
      <c r="DP732" s="59"/>
      <c r="DQ732" s="59"/>
      <c r="DR732" s="59"/>
      <c r="DS732" s="59">
        <v>1</v>
      </c>
      <c r="DT732" s="59"/>
      <c r="DU732" s="59"/>
      <c r="DV732" s="38">
        <f t="shared" si="356"/>
        <v>69</v>
      </c>
      <c r="DW732" s="14" t="str">
        <f t="shared" si="355"/>
        <v/>
      </c>
      <c r="DY732" s="286">
        <f t="shared" si="358"/>
        <v>69</v>
      </c>
      <c r="DZ732" s="286" t="str">
        <f t="shared" si="359"/>
        <v/>
      </c>
    </row>
    <row r="733" spans="1:130" s="286" customFormat="1">
      <c r="A733" s="210">
        <v>40940</v>
      </c>
      <c r="B733" s="211"/>
      <c r="C733" s="61">
        <v>2</v>
      </c>
      <c r="D733" s="59">
        <v>21</v>
      </c>
      <c r="E733" s="59">
        <v>7</v>
      </c>
      <c r="F733" s="59">
        <v>1</v>
      </c>
      <c r="G733" s="59">
        <v>2</v>
      </c>
      <c r="H733" s="59">
        <v>2</v>
      </c>
      <c r="I733" s="59">
        <v>0</v>
      </c>
      <c r="J733" s="59">
        <v>40</v>
      </c>
      <c r="K733" s="59">
        <v>0</v>
      </c>
      <c r="L733" s="59">
        <v>0</v>
      </c>
      <c r="M733" s="59">
        <v>0</v>
      </c>
      <c r="N733" s="59">
        <v>0</v>
      </c>
      <c r="O733" s="59">
        <v>3</v>
      </c>
      <c r="P733" s="59">
        <v>1</v>
      </c>
      <c r="Q733" s="59">
        <v>0</v>
      </c>
      <c r="R733" s="59">
        <v>0</v>
      </c>
      <c r="S733" s="35">
        <f t="shared" ref="S733:S738" si="360">SUM(C733:R733)</f>
        <v>79</v>
      </c>
      <c r="T733" s="59"/>
      <c r="U733" s="59">
        <v>11</v>
      </c>
      <c r="V733" s="59">
        <v>8</v>
      </c>
      <c r="W733" s="59">
        <v>0</v>
      </c>
      <c r="X733" s="62">
        <v>0</v>
      </c>
      <c r="Y733" s="10"/>
      <c r="Z733" s="61">
        <v>251656</v>
      </c>
      <c r="AA733" s="101"/>
      <c r="AB733" s="101"/>
      <c r="AC733" s="61">
        <v>1822676</v>
      </c>
      <c r="AD733" s="59"/>
      <c r="AE733" s="35">
        <f t="shared" si="354"/>
        <v>1822676</v>
      </c>
      <c r="AF733" s="10"/>
      <c r="AG733" s="61">
        <v>123</v>
      </c>
      <c r="AH733" s="59">
        <v>13</v>
      </c>
      <c r="AI733" s="59">
        <v>152</v>
      </c>
      <c r="AJ733" s="62"/>
      <c r="AK733" s="10"/>
      <c r="AL733" s="8"/>
      <c r="AM733" s="10"/>
      <c r="AN733" s="35"/>
      <c r="AO733" s="279"/>
      <c r="AP733" s="279"/>
      <c r="AQ733" s="281"/>
      <c r="AR733" s="59">
        <v>154</v>
      </c>
      <c r="AS733" s="59">
        <v>106</v>
      </c>
      <c r="AT733" s="59">
        <v>180</v>
      </c>
      <c r="AU733" s="59">
        <v>22</v>
      </c>
      <c r="AV733" s="62">
        <v>355</v>
      </c>
      <c r="AW733" s="10"/>
      <c r="AX733" s="326">
        <v>40938</v>
      </c>
      <c r="AY733" s="5">
        <v>-2</v>
      </c>
      <c r="AZ733" s="10"/>
      <c r="BA733" s="315">
        <v>1974</v>
      </c>
      <c r="BB733" s="313">
        <v>70839218</v>
      </c>
      <c r="BC733" s="59"/>
      <c r="BD733" s="59"/>
      <c r="BE733" s="314">
        <v>184</v>
      </c>
      <c r="BF733" s="314">
        <v>3</v>
      </c>
      <c r="BG733" s="314">
        <v>3</v>
      </c>
      <c r="BH733" s="30">
        <f>SUM(BE733:BG733)</f>
        <v>190</v>
      </c>
      <c r="BI733" s="313">
        <v>8299394</v>
      </c>
      <c r="BJ733" s="342">
        <v>40949</v>
      </c>
      <c r="BK733" s="342">
        <v>40949</v>
      </c>
      <c r="BL733" s="320">
        <f>BK733-BJ733</f>
        <v>0</v>
      </c>
      <c r="BM733" s="62"/>
      <c r="BN733" s="10"/>
      <c r="BO733" s="8"/>
      <c r="BP733" s="62">
        <v>166</v>
      </c>
      <c r="BQ733" s="10"/>
      <c r="BR733" s="29">
        <v>2012</v>
      </c>
      <c r="BS733" s="64">
        <v>2012</v>
      </c>
      <c r="BT733" s="14">
        <v>3</v>
      </c>
      <c r="BU733" s="10"/>
      <c r="BV733" s="8">
        <v>10</v>
      </c>
      <c r="BW733" s="59">
        <v>7</v>
      </c>
      <c r="BX733" s="59"/>
      <c r="BY733" s="59"/>
      <c r="BZ733" s="59"/>
      <c r="CA733" s="59">
        <v>3</v>
      </c>
      <c r="CB733" s="221"/>
      <c r="CC733" s="59"/>
      <c r="CD733" s="59">
        <v>3</v>
      </c>
      <c r="CE733" s="59"/>
      <c r="CF733" s="221"/>
      <c r="CG733" s="59"/>
      <c r="CH733" s="59"/>
      <c r="CI733" s="59">
        <v>12</v>
      </c>
      <c r="CJ733" s="59">
        <v>2</v>
      </c>
      <c r="CK733" s="59"/>
      <c r="CL733" s="59"/>
      <c r="CM733" s="59">
        <v>2</v>
      </c>
      <c r="CN733" s="59"/>
      <c r="CO733" s="59">
        <v>6</v>
      </c>
      <c r="CP733" s="221"/>
      <c r="CQ733" s="59"/>
      <c r="CR733" s="221"/>
      <c r="CS733" s="59"/>
      <c r="CT733" s="59">
        <v>7</v>
      </c>
      <c r="CU733" s="221"/>
      <c r="CV733" s="59">
        <v>8</v>
      </c>
      <c r="CW733" s="59"/>
      <c r="CX733" s="59"/>
      <c r="CY733" s="59"/>
      <c r="CZ733" s="59"/>
      <c r="DA733" s="59">
        <v>1</v>
      </c>
      <c r="DB733" s="59">
        <v>1</v>
      </c>
      <c r="DC733" s="59"/>
      <c r="DD733" s="59"/>
      <c r="DE733" s="59"/>
      <c r="DF733" s="59"/>
      <c r="DG733" s="59">
        <v>11</v>
      </c>
      <c r="DH733" s="59">
        <v>1</v>
      </c>
      <c r="DI733" s="59"/>
      <c r="DJ733" s="59">
        <v>2</v>
      </c>
      <c r="DK733" s="59"/>
      <c r="DL733" s="221"/>
      <c r="DM733" s="59"/>
      <c r="DN733" s="59"/>
      <c r="DO733" s="59">
        <v>3</v>
      </c>
      <c r="DP733" s="59"/>
      <c r="DQ733" s="59"/>
      <c r="DR733" s="59"/>
      <c r="DS733" s="59"/>
      <c r="DT733" s="59"/>
      <c r="DU733" s="59"/>
      <c r="DV733" s="38">
        <f t="shared" si="356"/>
        <v>79</v>
      </c>
      <c r="DW733" s="14" t="str">
        <f t="shared" si="355"/>
        <v/>
      </c>
      <c r="DY733" s="286">
        <f t="shared" si="358"/>
        <v>79</v>
      </c>
      <c r="DZ733" s="286" t="str">
        <f t="shared" si="359"/>
        <v/>
      </c>
    </row>
    <row r="734" spans="1:130" s="286" customFormat="1">
      <c r="A734" s="210">
        <v>40954</v>
      </c>
      <c r="B734" s="211"/>
      <c r="C734" s="61">
        <v>1</v>
      </c>
      <c r="D734" s="59">
        <v>8</v>
      </c>
      <c r="E734" s="59">
        <v>0</v>
      </c>
      <c r="F734" s="59">
        <v>0</v>
      </c>
      <c r="G734" s="59">
        <v>1</v>
      </c>
      <c r="H734" s="59">
        <v>7</v>
      </c>
      <c r="I734" s="59">
        <v>0</v>
      </c>
      <c r="J734" s="59">
        <v>85</v>
      </c>
      <c r="K734" s="59">
        <v>4</v>
      </c>
      <c r="L734" s="59">
        <v>7</v>
      </c>
      <c r="M734" s="59">
        <v>0</v>
      </c>
      <c r="N734" s="59">
        <v>0</v>
      </c>
      <c r="O734" s="59">
        <v>2</v>
      </c>
      <c r="P734" s="59">
        <v>0</v>
      </c>
      <c r="Q734" s="59">
        <v>0</v>
      </c>
      <c r="R734" s="59">
        <v>0</v>
      </c>
      <c r="S734" s="35">
        <f t="shared" si="360"/>
        <v>115</v>
      </c>
      <c r="T734" s="59"/>
      <c r="U734" s="59">
        <v>27</v>
      </c>
      <c r="V734" s="59">
        <v>25</v>
      </c>
      <c r="W734" s="59">
        <v>0</v>
      </c>
      <c r="X734" s="62">
        <v>0</v>
      </c>
      <c r="Y734" s="10"/>
      <c r="Z734" s="61">
        <v>266437</v>
      </c>
      <c r="AA734" s="101"/>
      <c r="AB734" s="101"/>
      <c r="AC734" s="61">
        <v>963774</v>
      </c>
      <c r="AD734" s="59"/>
      <c r="AE734" s="35">
        <f t="shared" si="354"/>
        <v>963774</v>
      </c>
      <c r="AF734" s="10"/>
      <c r="AG734" s="61">
        <v>118</v>
      </c>
      <c r="AH734" s="59">
        <v>23</v>
      </c>
      <c r="AI734" s="59">
        <v>158</v>
      </c>
      <c r="AJ734" s="62"/>
      <c r="AK734" s="10"/>
      <c r="AL734" s="8"/>
      <c r="AM734" s="10"/>
      <c r="AN734" s="35"/>
      <c r="AO734" s="279"/>
      <c r="AP734" s="279"/>
      <c r="AQ734" s="281"/>
      <c r="AR734" s="59">
        <v>156</v>
      </c>
      <c r="AS734" s="59">
        <v>106</v>
      </c>
      <c r="AT734" s="59">
        <v>180</v>
      </c>
      <c r="AU734" s="59">
        <v>22</v>
      </c>
      <c r="AV734" s="62">
        <v>355</v>
      </c>
      <c r="AW734" s="10"/>
      <c r="AX734" s="326">
        <v>40953</v>
      </c>
      <c r="AY734" s="5">
        <v>-1</v>
      </c>
      <c r="AZ734" s="10"/>
      <c r="BA734" s="61"/>
      <c r="BB734" s="59"/>
      <c r="BC734" s="59"/>
      <c r="BD734" s="59"/>
      <c r="BE734" s="59"/>
      <c r="BF734" s="59"/>
      <c r="BG734" s="59"/>
      <c r="BH734" s="30"/>
      <c r="BI734" s="59"/>
      <c r="BJ734" s="342"/>
      <c r="BK734" s="342"/>
      <c r="BL734" s="320"/>
      <c r="BM734" s="62"/>
      <c r="BN734" s="10"/>
      <c r="BO734" s="8"/>
      <c r="BP734" s="62"/>
      <c r="BQ734" s="10"/>
      <c r="BR734" s="29">
        <v>2012</v>
      </c>
      <c r="BS734" s="64">
        <v>2012</v>
      </c>
      <c r="BT734" s="14">
        <v>4</v>
      </c>
      <c r="BU734" s="10"/>
      <c r="BV734" s="8">
        <v>1</v>
      </c>
      <c r="BW734" s="59">
        <v>7</v>
      </c>
      <c r="BX734" s="59"/>
      <c r="BY734" s="59"/>
      <c r="BZ734" s="59"/>
      <c r="CA734" s="59"/>
      <c r="CB734" s="221"/>
      <c r="CC734" s="59"/>
      <c r="CD734" s="59">
        <v>2</v>
      </c>
      <c r="CE734" s="59">
        <v>2</v>
      </c>
      <c r="CF734" s="221"/>
      <c r="CG734" s="59">
        <v>18</v>
      </c>
      <c r="CH734" s="59"/>
      <c r="CI734" s="59"/>
      <c r="CJ734" s="59">
        <v>18</v>
      </c>
      <c r="CK734" s="59"/>
      <c r="CL734" s="59"/>
      <c r="CM734" s="59">
        <v>1</v>
      </c>
      <c r="CN734" s="59"/>
      <c r="CO734" s="59">
        <v>18</v>
      </c>
      <c r="CP734" s="221"/>
      <c r="CQ734" s="59"/>
      <c r="CR734" s="221"/>
      <c r="CS734" s="59"/>
      <c r="CT734" s="59">
        <v>4</v>
      </c>
      <c r="CU734" s="221"/>
      <c r="CV734" s="59">
        <v>2</v>
      </c>
      <c r="CW734" s="59"/>
      <c r="CX734" s="59"/>
      <c r="CY734" s="59"/>
      <c r="CZ734" s="59"/>
      <c r="DA734" s="59"/>
      <c r="DB734" s="59">
        <v>17</v>
      </c>
      <c r="DC734" s="59">
        <v>21</v>
      </c>
      <c r="DD734" s="59"/>
      <c r="DE734" s="59"/>
      <c r="DF734" s="59"/>
      <c r="DG734" s="59">
        <v>4</v>
      </c>
      <c r="DH734" s="59"/>
      <c r="DI734" s="59"/>
      <c r="DJ734" s="59"/>
      <c r="DK734" s="59"/>
      <c r="DL734" s="221"/>
      <c r="DM734" s="59"/>
      <c r="DN734" s="59"/>
      <c r="DO734" s="59"/>
      <c r="DP734" s="59"/>
      <c r="DQ734" s="59"/>
      <c r="DR734" s="59"/>
      <c r="DS734" s="59"/>
      <c r="DT734" s="59"/>
      <c r="DU734" s="59"/>
      <c r="DV734" s="38">
        <f t="shared" si="356"/>
        <v>115</v>
      </c>
      <c r="DW734" s="14" t="str">
        <f t="shared" si="355"/>
        <v/>
      </c>
      <c r="DY734" s="286">
        <f t="shared" si="358"/>
        <v>115</v>
      </c>
      <c r="DZ734" s="286" t="str">
        <f t="shared" si="359"/>
        <v/>
      </c>
    </row>
    <row r="735" spans="1:130" s="286" customFormat="1">
      <c r="A735" s="210">
        <v>40969</v>
      </c>
      <c r="B735" s="211"/>
      <c r="C735" s="61">
        <v>11</v>
      </c>
      <c r="D735" s="59">
        <v>16</v>
      </c>
      <c r="E735" s="59">
        <v>1</v>
      </c>
      <c r="F735" s="59">
        <v>1</v>
      </c>
      <c r="G735" s="59">
        <v>0</v>
      </c>
      <c r="H735" s="59">
        <v>0</v>
      </c>
      <c r="I735" s="59">
        <v>0</v>
      </c>
      <c r="J735" s="59">
        <v>40</v>
      </c>
      <c r="K735" s="59">
        <v>0</v>
      </c>
      <c r="L735" s="59">
        <v>1</v>
      </c>
      <c r="M735" s="59">
        <v>0</v>
      </c>
      <c r="N735" s="59">
        <v>0</v>
      </c>
      <c r="O735" s="59">
        <v>5</v>
      </c>
      <c r="P735" s="59">
        <v>0</v>
      </c>
      <c r="Q735" s="59">
        <v>0</v>
      </c>
      <c r="R735" s="59">
        <v>0</v>
      </c>
      <c r="S735" s="35">
        <f t="shared" si="360"/>
        <v>75</v>
      </c>
      <c r="T735" s="59"/>
      <c r="U735" s="59">
        <v>18</v>
      </c>
      <c r="V735" s="59">
        <v>17</v>
      </c>
      <c r="W735" s="59">
        <v>0</v>
      </c>
      <c r="X735" s="62">
        <v>1</v>
      </c>
      <c r="Y735" s="10"/>
      <c r="Z735" s="61">
        <v>319262</v>
      </c>
      <c r="AA735" s="101"/>
      <c r="AB735" s="101"/>
      <c r="AC735" s="61">
        <v>1805123</v>
      </c>
      <c r="AD735" s="59"/>
      <c r="AE735" s="35">
        <f t="shared" si="354"/>
        <v>1805123</v>
      </c>
      <c r="AF735" s="10"/>
      <c r="AG735" s="61">
        <v>123</v>
      </c>
      <c r="AH735" s="59">
        <v>31</v>
      </c>
      <c r="AI735" s="59">
        <v>172</v>
      </c>
      <c r="AJ735" s="62"/>
      <c r="AK735" s="10"/>
      <c r="AL735" s="8"/>
      <c r="AM735" s="10"/>
      <c r="AN735" s="35"/>
      <c r="AO735" s="279"/>
      <c r="AP735" s="279"/>
      <c r="AQ735" s="281"/>
      <c r="AR735" s="59">
        <v>156</v>
      </c>
      <c r="AS735" s="59">
        <v>107</v>
      </c>
      <c r="AT735" s="59">
        <v>182</v>
      </c>
      <c r="AU735" s="59">
        <v>22</v>
      </c>
      <c r="AV735" s="62">
        <v>358</v>
      </c>
      <c r="AW735" s="10"/>
      <c r="AX735" s="326">
        <v>40967</v>
      </c>
      <c r="AY735" s="5">
        <v>-2</v>
      </c>
      <c r="AZ735" s="10"/>
      <c r="BA735" s="61">
        <v>1974</v>
      </c>
      <c r="BB735" s="313">
        <v>70792823</v>
      </c>
      <c r="BC735" s="59"/>
      <c r="BD735" s="59">
        <v>30190990</v>
      </c>
      <c r="BE735" s="314">
        <v>100</v>
      </c>
      <c r="BF735" s="314">
        <v>3</v>
      </c>
      <c r="BG735" s="314">
        <v>3</v>
      </c>
      <c r="BH735" s="30">
        <f>SUM(BE735:BG735)</f>
        <v>106</v>
      </c>
      <c r="BI735" s="313">
        <v>5290993</v>
      </c>
      <c r="BJ735" s="342">
        <v>40978</v>
      </c>
      <c r="BK735" s="342">
        <v>40975</v>
      </c>
      <c r="BL735" s="320">
        <f>BK735-BJ735</f>
        <v>-3</v>
      </c>
      <c r="BM735" s="62"/>
      <c r="BN735" s="59"/>
      <c r="BO735" s="61"/>
      <c r="BP735" s="62">
        <v>167</v>
      </c>
      <c r="BQ735" s="10"/>
      <c r="BR735" s="29">
        <v>2012</v>
      </c>
      <c r="BS735" s="64">
        <v>2012</v>
      </c>
      <c r="BT735" s="14">
        <v>5</v>
      </c>
      <c r="BU735" s="10"/>
      <c r="BV735" s="8">
        <v>1</v>
      </c>
      <c r="BW735" s="59">
        <v>1</v>
      </c>
      <c r="BX735" s="59"/>
      <c r="BY735" s="59"/>
      <c r="BZ735" s="59"/>
      <c r="CA735" s="59"/>
      <c r="CB735" s="221"/>
      <c r="CC735" s="59"/>
      <c r="CD735" s="59">
        <v>4</v>
      </c>
      <c r="CE735" s="59"/>
      <c r="CF735" s="221"/>
      <c r="CG735" s="59">
        <v>7</v>
      </c>
      <c r="CH735" s="59"/>
      <c r="CI735" s="59">
        <v>8</v>
      </c>
      <c r="CJ735" s="59">
        <v>6</v>
      </c>
      <c r="CK735" s="59"/>
      <c r="CL735" s="59"/>
      <c r="CM735" s="59"/>
      <c r="CN735" s="59">
        <v>1</v>
      </c>
      <c r="CO735" s="59">
        <v>8</v>
      </c>
      <c r="CP735" s="221"/>
      <c r="CQ735" s="59"/>
      <c r="CR735" s="221"/>
      <c r="CS735" s="59">
        <v>14</v>
      </c>
      <c r="CT735" s="59">
        <v>1</v>
      </c>
      <c r="CU735" s="221"/>
      <c r="CV735" s="59">
        <v>2</v>
      </c>
      <c r="CW735" s="59"/>
      <c r="CX735" s="59"/>
      <c r="CY735" s="59">
        <v>1</v>
      </c>
      <c r="CZ735" s="59"/>
      <c r="DA735" s="59"/>
      <c r="DB735" s="59">
        <v>14</v>
      </c>
      <c r="DC735" s="59"/>
      <c r="DD735" s="59"/>
      <c r="DE735" s="59"/>
      <c r="DF735" s="59">
        <v>2</v>
      </c>
      <c r="DG735" s="59">
        <v>1</v>
      </c>
      <c r="DH735" s="59"/>
      <c r="DI735" s="59"/>
      <c r="DJ735" s="59"/>
      <c r="DK735" s="59"/>
      <c r="DL735" s="221"/>
      <c r="DM735" s="59">
        <v>3</v>
      </c>
      <c r="DN735" s="59"/>
      <c r="DO735" s="59">
        <v>1</v>
      </c>
      <c r="DP735" s="59"/>
      <c r="DQ735" s="59"/>
      <c r="DR735" s="59"/>
      <c r="DS735" s="59"/>
      <c r="DT735" s="59"/>
      <c r="DU735" s="59"/>
      <c r="DV735" s="38">
        <f t="shared" si="356"/>
        <v>75</v>
      </c>
      <c r="DW735" s="14" t="str">
        <f t="shared" si="355"/>
        <v/>
      </c>
      <c r="DY735" s="286">
        <f t="shared" si="358"/>
        <v>75</v>
      </c>
      <c r="DZ735" s="286" t="str">
        <f t="shared" si="359"/>
        <v/>
      </c>
    </row>
    <row r="736" spans="1:130" s="286" customFormat="1">
      <c r="A736" s="210">
        <v>40983</v>
      </c>
      <c r="B736" s="211"/>
      <c r="C736" s="61">
        <v>3</v>
      </c>
      <c r="D736" s="59">
        <v>5</v>
      </c>
      <c r="E736" s="59">
        <v>0</v>
      </c>
      <c r="F736" s="59">
        <v>0</v>
      </c>
      <c r="G736" s="59">
        <v>0</v>
      </c>
      <c r="H736" s="59">
        <v>0</v>
      </c>
      <c r="I736" s="59">
        <v>0</v>
      </c>
      <c r="J736" s="59">
        <v>11</v>
      </c>
      <c r="K736" s="59">
        <v>1</v>
      </c>
      <c r="L736" s="59">
        <v>0</v>
      </c>
      <c r="M736" s="59">
        <v>0</v>
      </c>
      <c r="N736" s="59">
        <v>0</v>
      </c>
      <c r="O736" s="59">
        <v>1</v>
      </c>
      <c r="P736" s="59">
        <v>4</v>
      </c>
      <c r="Q736" s="59">
        <v>0</v>
      </c>
      <c r="R736" s="59">
        <v>0</v>
      </c>
      <c r="S736" s="35">
        <f t="shared" si="360"/>
        <v>25</v>
      </c>
      <c r="T736" s="59"/>
      <c r="U736" s="59">
        <v>4</v>
      </c>
      <c r="V736" s="59">
        <v>4</v>
      </c>
      <c r="W736" s="59">
        <v>0</v>
      </c>
      <c r="X736" s="62">
        <v>1</v>
      </c>
      <c r="Y736" s="10"/>
      <c r="Z736" s="61">
        <v>221625</v>
      </c>
      <c r="AA736" s="101"/>
      <c r="AB736" s="101"/>
      <c r="AC736" s="61">
        <v>497241</v>
      </c>
      <c r="AD736" s="59"/>
      <c r="AE736" s="35">
        <f t="shared" si="354"/>
        <v>497241</v>
      </c>
      <c r="AF736" s="10"/>
      <c r="AG736" s="61">
        <v>37</v>
      </c>
      <c r="AH736" s="59">
        <v>34</v>
      </c>
      <c r="AI736" s="59">
        <v>86</v>
      </c>
      <c r="AJ736" s="62"/>
      <c r="AK736" s="10"/>
      <c r="AL736" s="8"/>
      <c r="AM736" s="10"/>
      <c r="AN736" s="35"/>
      <c r="AO736" s="279"/>
      <c r="AP736" s="279"/>
      <c r="AQ736" s="281"/>
      <c r="AR736" s="59">
        <v>157</v>
      </c>
      <c r="AS736" s="59">
        <v>109</v>
      </c>
      <c r="AT736" s="59">
        <v>182</v>
      </c>
      <c r="AU736" s="59">
        <v>22</v>
      </c>
      <c r="AV736" s="62">
        <v>360</v>
      </c>
      <c r="AW736" s="10"/>
      <c r="AX736" s="326">
        <v>40982</v>
      </c>
      <c r="AY736" s="5">
        <v>-1</v>
      </c>
      <c r="AZ736" s="10"/>
      <c r="BA736" s="61"/>
      <c r="BB736" s="59"/>
      <c r="BC736" s="59"/>
      <c r="BD736" s="59"/>
      <c r="BE736" s="59"/>
      <c r="BF736" s="59"/>
      <c r="BG736" s="59"/>
      <c r="BH736" s="351"/>
      <c r="BI736" s="59"/>
      <c r="BJ736" s="342"/>
      <c r="BK736" s="342"/>
      <c r="BL736" s="320"/>
      <c r="BM736" s="62"/>
      <c r="BN736" s="10"/>
      <c r="BO736" s="8"/>
      <c r="BP736" s="62"/>
      <c r="BQ736" s="10"/>
      <c r="BR736" s="29">
        <v>2012</v>
      </c>
      <c r="BS736" s="64">
        <v>2012</v>
      </c>
      <c r="BT736" s="14">
        <v>6</v>
      </c>
      <c r="BU736" s="10"/>
      <c r="BV736" s="8"/>
      <c r="BW736" s="59"/>
      <c r="BX736" s="59"/>
      <c r="BY736" s="59">
        <v>1</v>
      </c>
      <c r="BZ736" s="59"/>
      <c r="CA736" s="59">
        <v>1</v>
      </c>
      <c r="CB736" s="221"/>
      <c r="CC736" s="59"/>
      <c r="CD736" s="59">
        <v>4</v>
      </c>
      <c r="CE736" s="59">
        <v>1</v>
      </c>
      <c r="CF736" s="221"/>
      <c r="CG736" s="59"/>
      <c r="CH736" s="59"/>
      <c r="CI736" s="59"/>
      <c r="CJ736" s="59">
        <v>1</v>
      </c>
      <c r="CK736" s="59"/>
      <c r="CL736" s="59"/>
      <c r="CM736" s="59"/>
      <c r="CN736" s="59"/>
      <c r="CO736" s="59">
        <v>2</v>
      </c>
      <c r="CP736" s="221"/>
      <c r="CQ736" s="59"/>
      <c r="CR736" s="221"/>
      <c r="CS736" s="59">
        <v>1</v>
      </c>
      <c r="CT736" s="59">
        <v>1</v>
      </c>
      <c r="CU736" s="221"/>
      <c r="CV736" s="59">
        <v>1</v>
      </c>
      <c r="CW736" s="59"/>
      <c r="CX736" s="59"/>
      <c r="CY736" s="59"/>
      <c r="CZ736" s="59"/>
      <c r="DA736" s="59"/>
      <c r="DB736" s="59"/>
      <c r="DC736" s="59"/>
      <c r="DD736" s="59"/>
      <c r="DE736" s="59"/>
      <c r="DF736" s="59"/>
      <c r="DG736" s="59"/>
      <c r="DH736" s="59">
        <v>2</v>
      </c>
      <c r="DI736" s="59">
        <v>10</v>
      </c>
      <c r="DJ736" s="59"/>
      <c r="DK736" s="59"/>
      <c r="DL736" s="221"/>
      <c r="DM736" s="59"/>
      <c r="DN736" s="59"/>
      <c r="DO736" s="59"/>
      <c r="DP736" s="59"/>
      <c r="DQ736" s="59"/>
      <c r="DR736" s="59"/>
      <c r="DS736" s="59"/>
      <c r="DT736" s="59"/>
      <c r="DU736" s="59"/>
      <c r="DV736" s="38">
        <f t="shared" si="356"/>
        <v>25</v>
      </c>
      <c r="DW736" s="14" t="str">
        <f t="shared" si="355"/>
        <v/>
      </c>
      <c r="DY736" s="286">
        <f t="shared" si="358"/>
        <v>25</v>
      </c>
      <c r="DZ736" s="286" t="str">
        <f t="shared" si="359"/>
        <v/>
      </c>
    </row>
    <row r="737" spans="1:130" s="286" customFormat="1">
      <c r="A737" s="210">
        <v>41000</v>
      </c>
      <c r="B737" s="211"/>
      <c r="C737" s="61">
        <v>1</v>
      </c>
      <c r="D737" s="59">
        <v>27</v>
      </c>
      <c r="E737" s="59">
        <v>0</v>
      </c>
      <c r="F737" s="59">
        <v>1</v>
      </c>
      <c r="G737" s="59">
        <v>0</v>
      </c>
      <c r="H737" s="59">
        <v>1</v>
      </c>
      <c r="I737" s="59">
        <v>0</v>
      </c>
      <c r="J737" s="59">
        <v>19</v>
      </c>
      <c r="K737" s="59">
        <v>0</v>
      </c>
      <c r="L737" s="59">
        <v>0</v>
      </c>
      <c r="M737" s="59">
        <v>0</v>
      </c>
      <c r="N737" s="59">
        <v>0</v>
      </c>
      <c r="O737" s="59">
        <v>4</v>
      </c>
      <c r="P737" s="59">
        <v>0</v>
      </c>
      <c r="Q737" s="59">
        <v>0</v>
      </c>
      <c r="R737" s="59">
        <v>0</v>
      </c>
      <c r="S737" s="35">
        <f t="shared" si="360"/>
        <v>53</v>
      </c>
      <c r="T737" s="59"/>
      <c r="U737" s="59">
        <v>4</v>
      </c>
      <c r="V737" s="59">
        <v>4</v>
      </c>
      <c r="W737" s="59">
        <v>0</v>
      </c>
      <c r="X737" s="62">
        <v>0</v>
      </c>
      <c r="Y737" s="10"/>
      <c r="Z737" s="61">
        <v>258025</v>
      </c>
      <c r="AA737" s="101"/>
      <c r="AB737" s="101"/>
      <c r="AC737" s="61">
        <v>1393663</v>
      </c>
      <c r="AD737" s="59"/>
      <c r="AE737" s="35">
        <f t="shared" si="354"/>
        <v>1393663</v>
      </c>
      <c r="AF737" s="10"/>
      <c r="AG737" s="61">
        <v>69</v>
      </c>
      <c r="AH737" s="59">
        <v>39</v>
      </c>
      <c r="AI737" s="59">
        <v>122</v>
      </c>
      <c r="AJ737" s="62"/>
      <c r="AK737" s="10"/>
      <c r="AL737" s="8">
        <v>0</v>
      </c>
      <c r="AM737" s="59">
        <v>36</v>
      </c>
      <c r="AN737" s="35">
        <f>SUM(AL737:AM737)</f>
        <v>36</v>
      </c>
      <c r="AO737" s="279"/>
      <c r="AP737" s="279"/>
      <c r="AQ737" s="281"/>
      <c r="AR737" s="59">
        <v>158</v>
      </c>
      <c r="AS737" s="59">
        <v>109</v>
      </c>
      <c r="AT737" s="59">
        <v>184</v>
      </c>
      <c r="AU737" s="59">
        <v>22</v>
      </c>
      <c r="AV737" s="62">
        <v>362</v>
      </c>
      <c r="AW737" s="10"/>
      <c r="AX737" s="326">
        <v>40994</v>
      </c>
      <c r="AY737" s="5">
        <v>-6</v>
      </c>
      <c r="AZ737" s="10"/>
      <c r="BA737" s="61">
        <v>1973</v>
      </c>
      <c r="BB737" s="59">
        <v>70962318</v>
      </c>
      <c r="BC737" s="59"/>
      <c r="BD737" s="59">
        <v>30252322</v>
      </c>
      <c r="BE737" s="59">
        <v>86</v>
      </c>
      <c r="BF737" s="59">
        <v>5</v>
      </c>
      <c r="BG737" s="59">
        <v>6</v>
      </c>
      <c r="BH737" s="30">
        <f>SUM(BE737:BG737)</f>
        <v>97</v>
      </c>
      <c r="BI737" s="59">
        <v>4285785</v>
      </c>
      <c r="BJ737" s="342">
        <v>41009</v>
      </c>
      <c r="BK737" s="342">
        <v>41009</v>
      </c>
      <c r="BL737" s="320">
        <f>BK737-BJ737</f>
        <v>0</v>
      </c>
      <c r="BM737" s="62"/>
      <c r="BN737" s="59"/>
      <c r="BO737" s="61"/>
      <c r="BP737" s="62">
        <v>167</v>
      </c>
      <c r="BQ737" s="10"/>
      <c r="BR737" s="29">
        <v>2012</v>
      </c>
      <c r="BS737" s="64">
        <v>2012</v>
      </c>
      <c r="BT737" s="14">
        <v>7</v>
      </c>
      <c r="BU737" s="10"/>
      <c r="BV737" s="8"/>
      <c r="BW737" s="59">
        <v>1</v>
      </c>
      <c r="BX737" s="59">
        <v>16</v>
      </c>
      <c r="BY737" s="59"/>
      <c r="BZ737" s="59"/>
      <c r="CA737" s="59"/>
      <c r="CB737" s="221"/>
      <c r="CC737" s="59"/>
      <c r="CD737" s="59">
        <v>1</v>
      </c>
      <c r="CE737" s="59"/>
      <c r="CF737" s="221"/>
      <c r="CG737" s="59"/>
      <c r="CH737" s="59"/>
      <c r="CI737" s="59">
        <v>10</v>
      </c>
      <c r="CJ737" s="59">
        <v>4</v>
      </c>
      <c r="CK737" s="59"/>
      <c r="CL737" s="59"/>
      <c r="CM737" s="59"/>
      <c r="CN737" s="59"/>
      <c r="CO737" s="59">
        <v>3</v>
      </c>
      <c r="CP737" s="221"/>
      <c r="CQ737" s="59"/>
      <c r="CR737" s="221"/>
      <c r="CS737" s="59"/>
      <c r="CT737" s="59">
        <v>6</v>
      </c>
      <c r="CU737" s="221"/>
      <c r="CV737" s="59">
        <v>1</v>
      </c>
      <c r="CW737" s="59"/>
      <c r="CX737" s="59">
        <v>2</v>
      </c>
      <c r="CY737" s="59"/>
      <c r="CZ737" s="59"/>
      <c r="DA737" s="59"/>
      <c r="DB737" s="59">
        <v>1</v>
      </c>
      <c r="DC737" s="59"/>
      <c r="DD737" s="59"/>
      <c r="DE737" s="59"/>
      <c r="DF737" s="59"/>
      <c r="DG737" s="59">
        <v>1</v>
      </c>
      <c r="DH737" s="59">
        <v>6</v>
      </c>
      <c r="DI737" s="59"/>
      <c r="DJ737" s="59"/>
      <c r="DK737" s="59"/>
      <c r="DL737" s="221"/>
      <c r="DM737" s="59"/>
      <c r="DN737" s="59"/>
      <c r="DO737" s="59"/>
      <c r="DP737" s="59"/>
      <c r="DQ737" s="59"/>
      <c r="DR737" s="59"/>
      <c r="DS737" s="59">
        <v>1</v>
      </c>
      <c r="DT737" s="59"/>
      <c r="DU737" s="59"/>
      <c r="DV737" s="38">
        <f t="shared" si="356"/>
        <v>53</v>
      </c>
      <c r="DW737" s="14" t="str">
        <f t="shared" si="355"/>
        <v/>
      </c>
      <c r="DY737" s="286">
        <f t="shared" si="358"/>
        <v>53</v>
      </c>
      <c r="DZ737" s="286" t="str">
        <f t="shared" si="359"/>
        <v/>
      </c>
    </row>
    <row r="738" spans="1:130" s="286" customFormat="1">
      <c r="A738" s="210">
        <v>41014</v>
      </c>
      <c r="B738" s="211"/>
      <c r="C738" s="61">
        <v>2</v>
      </c>
      <c r="D738" s="59">
        <v>19</v>
      </c>
      <c r="E738" s="59">
        <v>0</v>
      </c>
      <c r="F738" s="59">
        <v>0</v>
      </c>
      <c r="G738" s="59">
        <v>0</v>
      </c>
      <c r="H738" s="59">
        <v>0</v>
      </c>
      <c r="I738" s="59">
        <v>0</v>
      </c>
      <c r="J738" s="59">
        <v>38</v>
      </c>
      <c r="K738" s="59">
        <v>2</v>
      </c>
      <c r="L738" s="59">
        <v>0</v>
      </c>
      <c r="M738" s="59">
        <v>0</v>
      </c>
      <c r="N738" s="59">
        <v>0</v>
      </c>
      <c r="O738" s="59">
        <v>3</v>
      </c>
      <c r="P738" s="59">
        <v>2</v>
      </c>
      <c r="Q738" s="59">
        <v>0</v>
      </c>
      <c r="R738" s="59">
        <v>0</v>
      </c>
      <c r="S738" s="35">
        <f t="shared" si="360"/>
        <v>66</v>
      </c>
      <c r="T738" s="59"/>
      <c r="U738" s="59">
        <v>7</v>
      </c>
      <c r="V738" s="59">
        <v>7</v>
      </c>
      <c r="W738" s="59">
        <v>0</v>
      </c>
      <c r="X738" s="62">
        <v>0</v>
      </c>
      <c r="Y738" s="10"/>
      <c r="Z738" s="61">
        <v>338636</v>
      </c>
      <c r="AA738" s="101"/>
      <c r="AB738" s="101"/>
      <c r="AC738" s="61">
        <v>1764598</v>
      </c>
      <c r="AD738" s="59"/>
      <c r="AE738" s="35">
        <f t="shared" si="354"/>
        <v>1764598</v>
      </c>
      <c r="AF738" s="10"/>
      <c r="AG738" s="61">
        <v>87</v>
      </c>
      <c r="AH738" s="59">
        <v>45</v>
      </c>
      <c r="AI738" s="59">
        <v>148</v>
      </c>
      <c r="AJ738" s="62"/>
      <c r="AK738" s="10"/>
      <c r="AL738" s="8"/>
      <c r="AM738" s="10"/>
      <c r="AN738" s="35"/>
      <c r="AO738" s="279"/>
      <c r="AP738" s="279"/>
      <c r="AQ738" s="281"/>
      <c r="AR738" s="59">
        <v>158</v>
      </c>
      <c r="AS738" s="59">
        <v>109</v>
      </c>
      <c r="AT738" s="59">
        <v>184</v>
      </c>
      <c r="AU738" s="59">
        <v>22</v>
      </c>
      <c r="AV738" s="62">
        <v>362</v>
      </c>
      <c r="AW738" s="10"/>
      <c r="AX738" s="326">
        <v>41011</v>
      </c>
      <c r="AY738" s="5">
        <v>-3</v>
      </c>
      <c r="AZ738" s="10"/>
      <c r="BA738" s="61"/>
      <c r="BB738" s="59"/>
      <c r="BC738" s="59"/>
      <c r="BD738" s="59"/>
      <c r="BE738" s="59"/>
      <c r="BF738" s="59"/>
      <c r="BG738" s="59"/>
      <c r="BH738" s="30"/>
      <c r="BI738" s="59"/>
      <c r="BJ738" s="342"/>
      <c r="BK738" s="342"/>
      <c r="BL738" s="320"/>
      <c r="BM738" s="62"/>
      <c r="BN738" s="10"/>
      <c r="BO738" s="8"/>
      <c r="BP738" s="62"/>
      <c r="BQ738" s="10"/>
      <c r="BR738" s="29">
        <v>2012</v>
      </c>
      <c r="BS738" s="64">
        <v>2012</v>
      </c>
      <c r="BT738" s="14">
        <v>8</v>
      </c>
      <c r="BU738" s="10"/>
      <c r="BV738" s="8">
        <v>2</v>
      </c>
      <c r="BW738" s="59"/>
      <c r="BX738" s="59"/>
      <c r="BY738" s="59"/>
      <c r="BZ738" s="59"/>
      <c r="CA738" s="59"/>
      <c r="CB738" s="221"/>
      <c r="CC738" s="59"/>
      <c r="CD738" s="59">
        <v>6</v>
      </c>
      <c r="CE738" s="59"/>
      <c r="CF738" s="221"/>
      <c r="CG738" s="59"/>
      <c r="CH738" s="59"/>
      <c r="CI738" s="59"/>
      <c r="CJ738" s="59">
        <v>1</v>
      </c>
      <c r="CK738" s="59"/>
      <c r="CL738" s="59"/>
      <c r="CM738" s="59">
        <v>1</v>
      </c>
      <c r="CN738" s="59">
        <v>3</v>
      </c>
      <c r="CO738" s="59">
        <v>15</v>
      </c>
      <c r="CP738" s="221"/>
      <c r="CQ738" s="59"/>
      <c r="CR738" s="221"/>
      <c r="CS738" s="59"/>
      <c r="CT738" s="59"/>
      <c r="CU738" s="221"/>
      <c r="CV738" s="59"/>
      <c r="CW738" s="59"/>
      <c r="CX738" s="59"/>
      <c r="CY738" s="59">
        <v>3</v>
      </c>
      <c r="CZ738" s="59"/>
      <c r="DA738" s="59"/>
      <c r="DB738" s="59">
        <v>22</v>
      </c>
      <c r="DC738" s="59"/>
      <c r="DD738" s="59"/>
      <c r="DE738" s="59"/>
      <c r="DF738" s="59"/>
      <c r="DG738" s="59">
        <v>2</v>
      </c>
      <c r="DH738" s="59"/>
      <c r="DI738" s="59">
        <v>4</v>
      </c>
      <c r="DJ738" s="59"/>
      <c r="DK738" s="59"/>
      <c r="DL738" s="221"/>
      <c r="DM738" s="59"/>
      <c r="DN738" s="59">
        <v>1</v>
      </c>
      <c r="DO738" s="59">
        <v>2</v>
      </c>
      <c r="DP738" s="59"/>
      <c r="DQ738" s="59"/>
      <c r="DR738" s="59"/>
      <c r="DS738" s="59">
        <v>4</v>
      </c>
      <c r="DT738" s="59"/>
      <c r="DU738" s="59"/>
      <c r="DV738" s="38">
        <f t="shared" si="356"/>
        <v>66</v>
      </c>
      <c r="DW738" s="14" t="str">
        <f t="shared" si="355"/>
        <v/>
      </c>
      <c r="DY738" s="286">
        <f t="shared" si="358"/>
        <v>66</v>
      </c>
      <c r="DZ738" s="286" t="str">
        <f t="shared" si="359"/>
        <v/>
      </c>
    </row>
    <row r="739" spans="1:130" s="286" customFormat="1">
      <c r="A739" s="210">
        <v>41030</v>
      </c>
      <c r="B739" s="211"/>
      <c r="C739" s="61">
        <v>2</v>
      </c>
      <c r="D739" s="59">
        <v>20</v>
      </c>
      <c r="E739" s="59">
        <v>2</v>
      </c>
      <c r="F739" s="59">
        <v>1</v>
      </c>
      <c r="G739" s="59">
        <v>0</v>
      </c>
      <c r="H739" s="59">
        <v>0</v>
      </c>
      <c r="I739" s="59">
        <v>0</v>
      </c>
      <c r="J739" s="59">
        <v>32</v>
      </c>
      <c r="K739" s="59">
        <v>0</v>
      </c>
      <c r="L739" s="59">
        <v>2</v>
      </c>
      <c r="M739" s="59">
        <v>0</v>
      </c>
      <c r="N739" s="59">
        <v>0</v>
      </c>
      <c r="O739" s="59">
        <v>2</v>
      </c>
      <c r="P739" s="59">
        <v>0</v>
      </c>
      <c r="Q739" s="59">
        <v>0</v>
      </c>
      <c r="R739" s="59">
        <v>0</v>
      </c>
      <c r="S739" s="35">
        <f>SUM(C739:R739)</f>
        <v>61</v>
      </c>
      <c r="T739" s="59"/>
      <c r="U739" s="59">
        <v>2</v>
      </c>
      <c r="V739" s="59">
        <v>2</v>
      </c>
      <c r="W739" s="59">
        <v>0</v>
      </c>
      <c r="X739" s="62">
        <v>0</v>
      </c>
      <c r="Y739" s="10"/>
      <c r="Z739" s="61">
        <v>375932</v>
      </c>
      <c r="AA739" s="101"/>
      <c r="AB739" s="101"/>
      <c r="AC739" s="61">
        <v>1383808</v>
      </c>
      <c r="AD739" s="59"/>
      <c r="AE739" s="35">
        <f t="shared" si="354"/>
        <v>1383808</v>
      </c>
      <c r="AF739" s="10"/>
      <c r="AG739" s="61">
        <v>97</v>
      </c>
      <c r="AH739" s="59">
        <v>51</v>
      </c>
      <c r="AI739" s="59">
        <v>162</v>
      </c>
      <c r="AJ739" s="62"/>
      <c r="AK739" s="10"/>
      <c r="AL739" s="8"/>
      <c r="AM739" s="10"/>
      <c r="AN739" s="35"/>
      <c r="AO739" s="279"/>
      <c r="AP739" s="279"/>
      <c r="AQ739" s="281"/>
      <c r="AR739" s="59">
        <v>156</v>
      </c>
      <c r="AS739" s="59">
        <v>109</v>
      </c>
      <c r="AT739" s="59">
        <v>186</v>
      </c>
      <c r="AU739" s="59">
        <v>20</v>
      </c>
      <c r="AV739" s="62">
        <v>362</v>
      </c>
      <c r="AW739" s="10"/>
      <c r="AX739" s="326">
        <v>41026</v>
      </c>
      <c r="AY739" s="5">
        <v>-4</v>
      </c>
      <c r="AZ739" s="10"/>
      <c r="BA739" s="61">
        <v>1979</v>
      </c>
      <c r="BB739" s="286">
        <v>71014279</v>
      </c>
      <c r="BC739" s="59"/>
      <c r="BD739" s="59">
        <v>30364197</v>
      </c>
      <c r="BE739" s="59">
        <v>92</v>
      </c>
      <c r="BF739" s="59">
        <v>13</v>
      </c>
      <c r="BG739" s="59">
        <v>5</v>
      </c>
      <c r="BH739" s="30">
        <f>SUM(BE739:BG739)</f>
        <v>110</v>
      </c>
      <c r="BI739" s="59">
        <v>4313808</v>
      </c>
      <c r="BJ739" s="342">
        <v>41039</v>
      </c>
      <c r="BK739" s="342">
        <v>41039</v>
      </c>
      <c r="BL739" s="320">
        <f>BK739-BJ739</f>
        <v>0</v>
      </c>
      <c r="BM739" s="62"/>
      <c r="BN739" s="10"/>
      <c r="BO739" s="8"/>
      <c r="BP739" s="5">
        <v>168</v>
      </c>
      <c r="BQ739" s="10"/>
      <c r="BR739" s="29">
        <v>2012</v>
      </c>
      <c r="BS739" s="64">
        <v>2012</v>
      </c>
      <c r="BT739" s="14">
        <v>9</v>
      </c>
      <c r="BU739" s="10"/>
      <c r="BV739" s="8">
        <v>1</v>
      </c>
      <c r="BW739" s="59"/>
      <c r="BX739" s="59">
        <v>1</v>
      </c>
      <c r="BY739" s="59"/>
      <c r="BZ739" s="59"/>
      <c r="CA739" s="59"/>
      <c r="CB739" s="221"/>
      <c r="CC739" s="59"/>
      <c r="CD739" s="59">
        <v>3</v>
      </c>
      <c r="CE739" s="59"/>
      <c r="CF739" s="221"/>
      <c r="CG739" s="59">
        <v>4</v>
      </c>
      <c r="CH739" s="59"/>
      <c r="CI739" s="59">
        <v>10</v>
      </c>
      <c r="CJ739" s="59">
        <v>17</v>
      </c>
      <c r="CK739" s="59"/>
      <c r="CL739" s="59"/>
      <c r="CM739" s="59"/>
      <c r="CN739" s="59">
        <v>1</v>
      </c>
      <c r="CO739" s="59">
        <v>2</v>
      </c>
      <c r="CP739" s="221"/>
      <c r="CQ739" s="59"/>
      <c r="CR739" s="221"/>
      <c r="CS739" s="59"/>
      <c r="CT739" s="59">
        <v>2</v>
      </c>
      <c r="CU739" s="221"/>
      <c r="CV739" s="59">
        <v>9</v>
      </c>
      <c r="CW739" s="59"/>
      <c r="CX739" s="59"/>
      <c r="CY739" s="59"/>
      <c r="CZ739" s="59"/>
      <c r="DA739" s="59"/>
      <c r="DB739" s="59">
        <v>2</v>
      </c>
      <c r="DC739" s="59"/>
      <c r="DD739" s="59"/>
      <c r="DE739" s="59"/>
      <c r="DF739" s="59"/>
      <c r="DG739" s="59"/>
      <c r="DH739" s="59">
        <v>1</v>
      </c>
      <c r="DI739" s="59"/>
      <c r="DJ739" s="59"/>
      <c r="DK739" s="59">
        <v>2</v>
      </c>
      <c r="DL739" s="221"/>
      <c r="DM739" s="59">
        <v>4</v>
      </c>
      <c r="DN739" s="59"/>
      <c r="DO739" s="59">
        <v>2</v>
      </c>
      <c r="DP739" s="59"/>
      <c r="DQ739" s="59"/>
      <c r="DR739" s="59"/>
      <c r="DS739" s="59"/>
      <c r="DT739" s="59"/>
      <c r="DU739" s="59"/>
      <c r="DV739" s="38">
        <f t="shared" si="356"/>
        <v>61</v>
      </c>
      <c r="DW739" s="14" t="str">
        <f t="shared" si="355"/>
        <v/>
      </c>
      <c r="DY739" s="286">
        <f t="shared" si="358"/>
        <v>61</v>
      </c>
      <c r="DZ739" s="286" t="str">
        <f t="shared" si="359"/>
        <v/>
      </c>
    </row>
    <row r="740" spans="1:130" s="286" customFormat="1">
      <c r="A740" s="210">
        <v>41044</v>
      </c>
      <c r="B740" s="211"/>
      <c r="C740" s="61">
        <v>0</v>
      </c>
      <c r="D740" s="59">
        <v>35</v>
      </c>
      <c r="E740" s="59">
        <v>0</v>
      </c>
      <c r="F740" s="59">
        <v>0</v>
      </c>
      <c r="G740" s="59">
        <v>0</v>
      </c>
      <c r="H740" s="59">
        <v>0</v>
      </c>
      <c r="I740" s="59">
        <v>0</v>
      </c>
      <c r="J740" s="59">
        <v>21</v>
      </c>
      <c r="K740" s="59">
        <v>0</v>
      </c>
      <c r="L740" s="59">
        <v>0</v>
      </c>
      <c r="M740" s="59">
        <v>0</v>
      </c>
      <c r="N740" s="59">
        <v>0</v>
      </c>
      <c r="O740" s="59">
        <v>0</v>
      </c>
      <c r="P740" s="59">
        <v>1</v>
      </c>
      <c r="Q740" s="59">
        <v>0</v>
      </c>
      <c r="R740" s="59">
        <v>0</v>
      </c>
      <c r="S740" s="35">
        <f>SUM(C740:R740)</f>
        <v>57</v>
      </c>
      <c r="T740" s="59"/>
      <c r="U740" s="59">
        <v>5</v>
      </c>
      <c r="V740" s="59">
        <v>4</v>
      </c>
      <c r="W740" s="59">
        <v>0</v>
      </c>
      <c r="X740" s="62">
        <v>0</v>
      </c>
      <c r="Y740" s="10"/>
      <c r="Z740" s="61">
        <v>379359</v>
      </c>
      <c r="AA740" s="101"/>
      <c r="AB740" s="101"/>
      <c r="AC740" s="61">
        <v>1671660</v>
      </c>
      <c r="AD740" s="59"/>
      <c r="AE740" s="35">
        <f t="shared" si="354"/>
        <v>1671660</v>
      </c>
      <c r="AF740" s="10"/>
      <c r="AG740" s="61">
        <v>95</v>
      </c>
      <c r="AH740" s="59">
        <v>55</v>
      </c>
      <c r="AI740" s="59">
        <v>166</v>
      </c>
      <c r="AJ740" s="62"/>
      <c r="AK740" s="10"/>
      <c r="AL740" s="8"/>
      <c r="AM740" s="10"/>
      <c r="AN740" s="35"/>
      <c r="AO740" s="279"/>
      <c r="AP740" s="279"/>
      <c r="AQ740" s="281"/>
      <c r="AR740" s="59">
        <v>156</v>
      </c>
      <c r="AS740" s="59">
        <v>109</v>
      </c>
      <c r="AT740" s="59">
        <v>188</v>
      </c>
      <c r="AU740" s="59">
        <v>20</v>
      </c>
      <c r="AV740" s="62">
        <v>364</v>
      </c>
      <c r="AW740" s="10"/>
      <c r="AX740" s="326">
        <v>41039</v>
      </c>
      <c r="AY740" s="5">
        <v>-5</v>
      </c>
      <c r="AZ740" s="10"/>
      <c r="BA740" s="8"/>
      <c r="BB740" s="10"/>
      <c r="BC740" s="10"/>
      <c r="BD740" s="10"/>
      <c r="BE740" s="10"/>
      <c r="BF740" s="10"/>
      <c r="BG740" s="10"/>
      <c r="BH740" s="30"/>
      <c r="BI740" s="10"/>
      <c r="BJ740" s="338"/>
      <c r="BK740" s="338"/>
      <c r="BL740" s="320"/>
      <c r="BM740" s="5"/>
      <c r="BN740" s="10"/>
      <c r="BO740" s="8"/>
      <c r="BP740" s="5"/>
      <c r="BQ740" s="10"/>
      <c r="BR740" s="29">
        <v>2012</v>
      </c>
      <c r="BS740" s="64">
        <v>2012</v>
      </c>
      <c r="BT740" s="14">
        <v>10</v>
      </c>
      <c r="BU740" s="10"/>
      <c r="BV740" s="8">
        <v>1</v>
      </c>
      <c r="BW740" s="59"/>
      <c r="BX740" s="59">
        <v>4</v>
      </c>
      <c r="BY740" s="59"/>
      <c r="BZ740" s="59"/>
      <c r="CA740" s="59"/>
      <c r="CB740" s="221"/>
      <c r="CC740" s="59"/>
      <c r="CD740" s="59">
        <v>5</v>
      </c>
      <c r="CE740" s="59"/>
      <c r="CF740" s="221"/>
      <c r="CG740" s="59"/>
      <c r="CH740" s="59"/>
      <c r="CI740" s="59"/>
      <c r="CJ740" s="59">
        <v>1</v>
      </c>
      <c r="CK740" s="59"/>
      <c r="CL740" s="59"/>
      <c r="CM740" s="59"/>
      <c r="CN740" s="59">
        <v>2</v>
      </c>
      <c r="CO740" s="59">
        <v>18</v>
      </c>
      <c r="CP740" s="221"/>
      <c r="CQ740" s="59"/>
      <c r="CR740" s="221"/>
      <c r="CS740" s="59">
        <v>10</v>
      </c>
      <c r="CT740" s="59">
        <v>5</v>
      </c>
      <c r="CU740" s="221"/>
      <c r="CV740" s="59"/>
      <c r="CW740" s="59"/>
      <c r="CX740" s="59"/>
      <c r="CY740" s="59"/>
      <c r="CZ740" s="59"/>
      <c r="DA740" s="59"/>
      <c r="DB740" s="59">
        <v>2</v>
      </c>
      <c r="DC740" s="59"/>
      <c r="DD740" s="59"/>
      <c r="DE740" s="59"/>
      <c r="DF740" s="59"/>
      <c r="DG740" s="59"/>
      <c r="DH740" s="59"/>
      <c r="DI740" s="59">
        <v>1</v>
      </c>
      <c r="DJ740" s="59">
        <v>1</v>
      </c>
      <c r="DK740" s="59"/>
      <c r="DL740" s="221"/>
      <c r="DM740" s="59"/>
      <c r="DN740" s="59"/>
      <c r="DO740" s="59"/>
      <c r="DP740" s="59"/>
      <c r="DQ740" s="59"/>
      <c r="DR740" s="59"/>
      <c r="DS740" s="59">
        <v>7</v>
      </c>
      <c r="DT740" s="59"/>
      <c r="DU740" s="59"/>
      <c r="DV740" s="38">
        <f t="shared" si="356"/>
        <v>57</v>
      </c>
      <c r="DW740" s="14" t="str">
        <f t="shared" si="355"/>
        <v/>
      </c>
      <c r="DY740" s="286">
        <f t="shared" si="358"/>
        <v>57</v>
      </c>
      <c r="DZ740" s="286" t="str">
        <f t="shared" si="359"/>
        <v/>
      </c>
    </row>
    <row r="741" spans="1:130" s="286" customFormat="1">
      <c r="A741" s="210">
        <v>41061</v>
      </c>
      <c r="B741" s="211"/>
      <c r="C741" s="8">
        <v>20</v>
      </c>
      <c r="D741" s="59">
        <v>33</v>
      </c>
      <c r="E741" s="59">
        <v>1</v>
      </c>
      <c r="F741" s="59">
        <v>2</v>
      </c>
      <c r="G741" s="59">
        <v>0</v>
      </c>
      <c r="H741" s="59">
        <v>2</v>
      </c>
      <c r="I741" s="59">
        <v>0</v>
      </c>
      <c r="J741" s="59">
        <v>14</v>
      </c>
      <c r="K741" s="59">
        <v>0</v>
      </c>
      <c r="L741" s="59">
        <v>0</v>
      </c>
      <c r="M741" s="59">
        <v>0</v>
      </c>
      <c r="N741" s="59">
        <v>0</v>
      </c>
      <c r="O741" s="59">
        <v>11</v>
      </c>
      <c r="P741" s="59">
        <v>0</v>
      </c>
      <c r="Q741" s="59">
        <v>0</v>
      </c>
      <c r="R741" s="59">
        <v>0</v>
      </c>
      <c r="S741" s="35">
        <f>SUM(C741:R741)</f>
        <v>83</v>
      </c>
      <c r="T741" s="59"/>
      <c r="U741" s="59">
        <v>6</v>
      </c>
      <c r="V741" s="59">
        <v>5</v>
      </c>
      <c r="W741" s="59">
        <v>0</v>
      </c>
      <c r="X741" s="62">
        <v>0</v>
      </c>
      <c r="Y741" s="10"/>
      <c r="Z741" s="61">
        <v>377695</v>
      </c>
      <c r="AA741" s="101"/>
      <c r="AB741" s="101"/>
      <c r="AC741" s="61">
        <v>3705898</v>
      </c>
      <c r="AD741" s="59"/>
      <c r="AE741" s="35">
        <f t="shared" si="354"/>
        <v>3705898</v>
      </c>
      <c r="AF741" s="10"/>
      <c r="AG741" s="8">
        <v>181</v>
      </c>
      <c r="AH741" s="59">
        <v>16</v>
      </c>
      <c r="AI741" s="59">
        <v>212</v>
      </c>
      <c r="AJ741" s="5"/>
      <c r="AK741" s="10"/>
      <c r="AL741" s="8"/>
      <c r="AM741" s="10"/>
      <c r="AN741" s="35"/>
      <c r="AO741" s="279"/>
      <c r="AP741" s="279"/>
      <c r="AQ741" s="281"/>
      <c r="AR741" s="59">
        <v>156</v>
      </c>
      <c r="AS741" s="59">
        <v>109</v>
      </c>
      <c r="AT741" s="59">
        <v>190</v>
      </c>
      <c r="AU741" s="59">
        <v>20</v>
      </c>
      <c r="AV741" s="62">
        <v>366</v>
      </c>
      <c r="AW741" s="10"/>
      <c r="AX741" s="326">
        <v>41060</v>
      </c>
      <c r="AY741" s="5">
        <v>-1</v>
      </c>
      <c r="AZ741" s="10"/>
      <c r="BA741" s="8">
        <v>1981</v>
      </c>
      <c r="BB741" s="10">
        <v>71278885</v>
      </c>
      <c r="BC741" s="10"/>
      <c r="BD741" s="10">
        <v>30433611</v>
      </c>
      <c r="BE741" s="10">
        <v>83</v>
      </c>
      <c r="BF741" s="10">
        <v>3</v>
      </c>
      <c r="BG741" s="59">
        <v>1</v>
      </c>
      <c r="BH741" s="30">
        <f>SUM(BE741:BG741)</f>
        <v>87</v>
      </c>
      <c r="BI741" s="59">
        <v>4450132</v>
      </c>
      <c r="BJ741" s="338">
        <v>41070</v>
      </c>
      <c r="BK741" s="342">
        <v>41068</v>
      </c>
      <c r="BL741" s="320">
        <f>BK741-BJ741</f>
        <v>-2</v>
      </c>
      <c r="BM741" s="5"/>
      <c r="BN741" s="10"/>
      <c r="BO741" s="8"/>
      <c r="BP741" s="5">
        <v>168</v>
      </c>
      <c r="BQ741" s="10"/>
      <c r="BR741" s="29">
        <v>2012</v>
      </c>
      <c r="BS741" s="64">
        <v>2012</v>
      </c>
      <c r="BT741" s="14">
        <v>11</v>
      </c>
      <c r="BU741" s="10"/>
      <c r="BV741" s="8">
        <v>3</v>
      </c>
      <c r="BW741" s="10">
        <v>4</v>
      </c>
      <c r="BX741" s="10"/>
      <c r="BY741" s="10"/>
      <c r="BZ741" s="10"/>
      <c r="CA741" s="10"/>
      <c r="CB741" s="221"/>
      <c r="CC741" s="10"/>
      <c r="CD741" s="59">
        <v>6</v>
      </c>
      <c r="CE741" s="10"/>
      <c r="CF741" s="221"/>
      <c r="CG741" s="10"/>
      <c r="CH741" s="10"/>
      <c r="CI741" s="10">
        <v>10</v>
      </c>
      <c r="CJ741" s="59">
        <v>6</v>
      </c>
      <c r="CK741" s="10"/>
      <c r="CL741" s="10"/>
      <c r="CM741" s="10"/>
      <c r="CN741" s="10"/>
      <c r="CO741" s="59">
        <v>5</v>
      </c>
      <c r="CP741" s="221"/>
      <c r="CQ741" s="10"/>
      <c r="CR741" s="221"/>
      <c r="CS741" s="10">
        <v>1</v>
      </c>
      <c r="CT741" s="10"/>
      <c r="CU741" s="221"/>
      <c r="CV741" s="59">
        <v>3</v>
      </c>
      <c r="CW741" s="10"/>
      <c r="CX741" s="10"/>
      <c r="CY741" s="10"/>
      <c r="CZ741" s="10"/>
      <c r="DA741" s="10"/>
      <c r="DB741" s="59">
        <v>7</v>
      </c>
      <c r="DC741" s="10"/>
      <c r="DD741" s="10"/>
      <c r="DE741" s="10"/>
      <c r="DF741" s="10"/>
      <c r="DG741" s="10">
        <v>2</v>
      </c>
      <c r="DH741" s="59">
        <v>5</v>
      </c>
      <c r="DI741" s="59">
        <v>1</v>
      </c>
      <c r="DJ741" s="10"/>
      <c r="DK741" s="59">
        <v>2</v>
      </c>
      <c r="DL741" s="221"/>
      <c r="DM741" s="59">
        <v>8</v>
      </c>
      <c r="DN741" s="10"/>
      <c r="DO741" s="10">
        <v>3</v>
      </c>
      <c r="DP741" s="10"/>
      <c r="DQ741" s="10"/>
      <c r="DR741" s="10"/>
      <c r="DS741" s="59">
        <v>17</v>
      </c>
      <c r="DT741" s="10"/>
      <c r="DU741" s="10"/>
      <c r="DV741" s="38">
        <f t="shared" si="356"/>
        <v>83</v>
      </c>
      <c r="DW741" s="14" t="str">
        <f t="shared" si="355"/>
        <v/>
      </c>
      <c r="DY741" s="286">
        <f t="shared" si="358"/>
        <v>83</v>
      </c>
      <c r="DZ741" s="286" t="str">
        <f t="shared" si="359"/>
        <v/>
      </c>
    </row>
    <row r="742" spans="1:130" s="286" customFormat="1">
      <c r="A742" s="210">
        <v>41075</v>
      </c>
      <c r="B742" s="211"/>
      <c r="C742" s="8">
        <v>4</v>
      </c>
      <c r="D742" s="59">
        <v>23</v>
      </c>
      <c r="E742" s="59">
        <v>5</v>
      </c>
      <c r="F742" s="59">
        <v>2</v>
      </c>
      <c r="G742" s="59">
        <v>0</v>
      </c>
      <c r="H742" s="59">
        <v>1</v>
      </c>
      <c r="I742" s="59">
        <v>0</v>
      </c>
      <c r="J742" s="59">
        <v>22</v>
      </c>
      <c r="K742" s="59">
        <v>7</v>
      </c>
      <c r="L742" s="59">
        <v>0</v>
      </c>
      <c r="M742" s="59">
        <v>0</v>
      </c>
      <c r="N742" s="59">
        <v>0</v>
      </c>
      <c r="O742" s="59">
        <v>18</v>
      </c>
      <c r="P742" s="59">
        <v>2</v>
      </c>
      <c r="Q742" s="59">
        <v>0</v>
      </c>
      <c r="R742" s="59">
        <v>0</v>
      </c>
      <c r="S742" s="35">
        <f>SUM(C742:R742)</f>
        <v>84</v>
      </c>
      <c r="T742" s="59"/>
      <c r="U742" s="59">
        <v>33</v>
      </c>
      <c r="V742" s="59">
        <v>21</v>
      </c>
      <c r="W742" s="59">
        <v>0</v>
      </c>
      <c r="X742" s="5">
        <v>0</v>
      </c>
      <c r="Y742" s="10"/>
      <c r="Z742" s="61">
        <v>412487</v>
      </c>
      <c r="AA742" s="101"/>
      <c r="AB742" s="101"/>
      <c r="AC742" s="61">
        <v>2388237</v>
      </c>
      <c r="AD742" s="59"/>
      <c r="AE742" s="35">
        <f t="shared" si="354"/>
        <v>2388237</v>
      </c>
      <c r="AF742" s="10"/>
      <c r="AG742" s="8">
        <v>89</v>
      </c>
      <c r="AH742" s="59">
        <v>63</v>
      </c>
      <c r="AI742" s="59">
        <v>172</v>
      </c>
      <c r="AJ742" s="5"/>
      <c r="AK742" s="10"/>
      <c r="AL742" s="8"/>
      <c r="AM742" s="10"/>
      <c r="AN742" s="35"/>
      <c r="AO742" s="279"/>
      <c r="AP742" s="279"/>
      <c r="AQ742" s="281"/>
      <c r="AR742" s="59">
        <v>158</v>
      </c>
      <c r="AS742" s="59">
        <v>112</v>
      </c>
      <c r="AT742" s="59">
        <v>190</v>
      </c>
      <c r="AU742" s="59">
        <v>21</v>
      </c>
      <c r="AV742" s="62">
        <v>372</v>
      </c>
      <c r="AW742" s="10"/>
      <c r="AX742" s="326">
        <v>41073</v>
      </c>
      <c r="AY742" s="5">
        <v>-2</v>
      </c>
      <c r="AZ742" s="10"/>
      <c r="BA742" s="8"/>
      <c r="BB742" s="10"/>
      <c r="BC742" s="10"/>
      <c r="BD742" s="10"/>
      <c r="BE742" s="10"/>
      <c r="BF742" s="10"/>
      <c r="BG742" s="10"/>
      <c r="BH742" s="30"/>
      <c r="BI742" s="10"/>
      <c r="BJ742" s="338"/>
      <c r="BK742" s="338"/>
      <c r="BL742" s="320"/>
      <c r="BM742" s="5"/>
      <c r="BN742" s="10"/>
      <c r="BO742" s="8"/>
      <c r="BP742" s="5"/>
      <c r="BQ742" s="10"/>
      <c r="BR742" s="29">
        <v>2012</v>
      </c>
      <c r="BS742" s="64">
        <v>2012</v>
      </c>
      <c r="BT742" s="14">
        <v>12</v>
      </c>
      <c r="BU742" s="10"/>
      <c r="BV742" s="8">
        <v>5</v>
      </c>
      <c r="BW742" s="10">
        <v>2</v>
      </c>
      <c r="BX742" s="59">
        <v>1</v>
      </c>
      <c r="BY742" s="10"/>
      <c r="BZ742" s="10"/>
      <c r="CA742" s="10"/>
      <c r="CB742" s="221"/>
      <c r="CC742" s="10"/>
      <c r="CD742" s="59">
        <v>2</v>
      </c>
      <c r="CE742" s="10">
        <v>27</v>
      </c>
      <c r="CF742" s="221"/>
      <c r="CG742" s="10">
        <v>1</v>
      </c>
      <c r="CH742" s="10"/>
      <c r="CI742" s="59">
        <v>1</v>
      </c>
      <c r="CJ742" s="59">
        <v>2</v>
      </c>
      <c r="CK742" s="10"/>
      <c r="CL742" s="10"/>
      <c r="CM742" s="10"/>
      <c r="CN742" s="59">
        <v>1</v>
      </c>
      <c r="CO742" s="59">
        <v>2</v>
      </c>
      <c r="CP742" s="221"/>
      <c r="CQ742" s="10"/>
      <c r="CR742" s="221"/>
      <c r="CS742" s="10"/>
      <c r="CT742" s="59">
        <v>3</v>
      </c>
      <c r="CU742" s="221"/>
      <c r="CV742" s="10"/>
      <c r="CW742" s="10"/>
      <c r="CX742" s="10"/>
      <c r="CY742" s="10">
        <v>1</v>
      </c>
      <c r="CZ742" s="10"/>
      <c r="DA742" s="10"/>
      <c r="DB742" s="59">
        <v>17</v>
      </c>
      <c r="DC742" s="10"/>
      <c r="DD742" s="10"/>
      <c r="DE742" s="10"/>
      <c r="DF742" s="10"/>
      <c r="DG742" s="59">
        <v>9</v>
      </c>
      <c r="DH742" s="10"/>
      <c r="DI742" s="59">
        <v>1</v>
      </c>
      <c r="DJ742" s="10">
        <v>4</v>
      </c>
      <c r="DK742" s="10"/>
      <c r="DL742" s="221"/>
      <c r="DM742" s="10"/>
      <c r="DN742" s="10"/>
      <c r="DO742" s="10"/>
      <c r="DP742" s="10"/>
      <c r="DQ742" s="10"/>
      <c r="DR742" s="10"/>
      <c r="DS742" s="59">
        <v>5</v>
      </c>
      <c r="DT742" s="10"/>
      <c r="DU742" s="10"/>
      <c r="DV742" s="38">
        <f t="shared" si="356"/>
        <v>84</v>
      </c>
      <c r="DW742" s="14" t="str">
        <f t="shared" si="355"/>
        <v/>
      </c>
      <c r="DY742" s="286">
        <f t="shared" si="358"/>
        <v>84</v>
      </c>
      <c r="DZ742" s="286" t="str">
        <f t="shared" si="359"/>
        <v/>
      </c>
    </row>
    <row r="743" spans="1:130" s="6" customFormat="1" ht="12" thickBot="1">
      <c r="A743" s="212" t="s">
        <v>282</v>
      </c>
      <c r="B743" s="83"/>
      <c r="C743" s="52">
        <f t="shared" ref="C743:H743" si="361">SUM(C719:C742)</f>
        <v>83</v>
      </c>
      <c r="D743" s="53">
        <f t="shared" si="361"/>
        <v>548</v>
      </c>
      <c r="E743" s="53">
        <f t="shared" si="361"/>
        <v>45</v>
      </c>
      <c r="F743" s="53">
        <f t="shared" si="361"/>
        <v>15</v>
      </c>
      <c r="G743" s="53">
        <f t="shared" si="361"/>
        <v>15</v>
      </c>
      <c r="H743" s="53">
        <f t="shared" si="361"/>
        <v>21</v>
      </c>
      <c r="I743" s="53">
        <f>SUM(I719:I742)</f>
        <v>0</v>
      </c>
      <c r="J743" s="53">
        <f t="shared" ref="J743:N743" si="362">SUM(J719:J742)</f>
        <v>518</v>
      </c>
      <c r="K743" s="53">
        <f t="shared" si="362"/>
        <v>29</v>
      </c>
      <c r="L743" s="53">
        <f t="shared" si="362"/>
        <v>12</v>
      </c>
      <c r="M743" s="53">
        <f t="shared" si="362"/>
        <v>0</v>
      </c>
      <c r="N743" s="53">
        <f t="shared" si="362"/>
        <v>0</v>
      </c>
      <c r="O743" s="53">
        <f>SUM(O719:O742)</f>
        <v>110</v>
      </c>
      <c r="P743" s="53">
        <f t="shared" ref="P743:X743" si="363">SUM(P719:P742)</f>
        <v>24</v>
      </c>
      <c r="Q743" s="53">
        <f t="shared" si="363"/>
        <v>3</v>
      </c>
      <c r="R743" s="53">
        <f t="shared" si="363"/>
        <v>0</v>
      </c>
      <c r="S743" s="55">
        <f t="shared" si="363"/>
        <v>1423</v>
      </c>
      <c r="T743" s="53">
        <f t="shared" si="363"/>
        <v>0</v>
      </c>
      <c r="U743" s="53">
        <f t="shared" si="363"/>
        <v>284</v>
      </c>
      <c r="V743" s="53">
        <f t="shared" si="363"/>
        <v>244</v>
      </c>
      <c r="W743" s="53">
        <f t="shared" si="363"/>
        <v>0</v>
      </c>
      <c r="X743" s="54">
        <f t="shared" si="363"/>
        <v>4</v>
      </c>
      <c r="Z743" s="52">
        <f>SUM(Z719:Z742)</f>
        <v>9375013</v>
      </c>
      <c r="AA743" s="53">
        <f>SUM(AA719:AA742)</f>
        <v>0</v>
      </c>
      <c r="AB743" s="53"/>
      <c r="AC743" s="52">
        <f>SUM(AC719:AC742)</f>
        <v>42818874</v>
      </c>
      <c r="AD743" s="53">
        <f>SUM(AD719:AD742)</f>
        <v>0</v>
      </c>
      <c r="AE743" s="55">
        <f>SUM(AE719:AE742)</f>
        <v>42818874</v>
      </c>
      <c r="AG743" s="52">
        <f>SUM(AG719:AG742)</f>
        <v>2354</v>
      </c>
      <c r="AH743" s="53">
        <f>SUM(AH719:AH742)</f>
        <v>1282</v>
      </c>
      <c r="AI743" s="53">
        <f>SUM(AI719:AI742)</f>
        <v>4036</v>
      </c>
      <c r="AJ743" s="54">
        <f>SUM(AJ719:AJ742)</f>
        <v>0</v>
      </c>
      <c r="AL743" s="52">
        <f t="shared" ref="AL743:AN743" si="364">SUM(AL719:AL742)</f>
        <v>0</v>
      </c>
      <c r="AM743" s="53">
        <f t="shared" si="364"/>
        <v>144</v>
      </c>
      <c r="AN743" s="55">
        <f t="shared" si="364"/>
        <v>144</v>
      </c>
      <c r="AO743" s="283"/>
      <c r="AP743" s="283"/>
      <c r="AQ743" s="284"/>
      <c r="AR743" s="53">
        <f t="shared" ref="AR743:AV743" si="365">SUM(AR719:AR742)</f>
        <v>3690</v>
      </c>
      <c r="AS743" s="53">
        <f t="shared" si="365"/>
        <v>1612</v>
      </c>
      <c r="AT743" s="53">
        <f t="shared" si="365"/>
        <v>2736</v>
      </c>
      <c r="AU743" s="53">
        <f t="shared" si="365"/>
        <v>318</v>
      </c>
      <c r="AV743" s="54">
        <f t="shared" si="365"/>
        <v>5377</v>
      </c>
      <c r="AX743" s="329"/>
      <c r="AY743" s="54"/>
      <c r="BA743" s="52">
        <f t="shared" ref="BA743:BM743" si="366">SUM(BA719:BA742)</f>
        <v>23753</v>
      </c>
      <c r="BB743" s="53">
        <f t="shared" si="366"/>
        <v>851018354</v>
      </c>
      <c r="BC743" s="53">
        <f t="shared" si="366"/>
        <v>0</v>
      </c>
      <c r="BD743" s="53">
        <f t="shared" ref="BD743" si="367">SUM(BD719:BD742)</f>
        <v>181637830</v>
      </c>
      <c r="BE743" s="53">
        <f t="shared" si="366"/>
        <v>1093</v>
      </c>
      <c r="BF743" s="53">
        <f t="shared" si="366"/>
        <v>69</v>
      </c>
      <c r="BG743" s="53">
        <f t="shared" si="366"/>
        <v>56</v>
      </c>
      <c r="BH743" s="55">
        <f>SUM(BH719:BH742)</f>
        <v>1218</v>
      </c>
      <c r="BI743" s="53">
        <f t="shared" si="366"/>
        <v>55995436</v>
      </c>
      <c r="BJ743" s="339"/>
      <c r="BK743" s="339"/>
      <c r="BL743" s="304"/>
      <c r="BM743" s="54">
        <f t="shared" si="366"/>
        <v>0</v>
      </c>
      <c r="BO743" s="52">
        <f>SUM(BO719:BO742)</f>
        <v>0</v>
      </c>
      <c r="BP743" s="54">
        <f>SUM(BP719:BP742)</f>
        <v>2001</v>
      </c>
      <c r="BR743" s="81" t="s">
        <v>280</v>
      </c>
      <c r="BS743" s="80"/>
      <c r="BT743" s="82"/>
      <c r="BV743" s="52">
        <f t="shared" ref="BV743:BW743" si="368">SUM(BV719:BV742)</f>
        <v>34</v>
      </c>
      <c r="BW743" s="53">
        <f t="shared" si="368"/>
        <v>36</v>
      </c>
      <c r="BX743" s="53">
        <f t="shared" ref="BX743:DU743" si="369">SUM(BX719:BX742)</f>
        <v>60</v>
      </c>
      <c r="BY743" s="53">
        <f t="shared" si="369"/>
        <v>4</v>
      </c>
      <c r="BZ743" s="53">
        <f t="shared" si="369"/>
        <v>0</v>
      </c>
      <c r="CA743" s="53">
        <f t="shared" si="369"/>
        <v>8</v>
      </c>
      <c r="CB743" s="53">
        <f t="shared" si="369"/>
        <v>0</v>
      </c>
      <c r="CC743" s="53">
        <f t="shared" si="369"/>
        <v>3</v>
      </c>
      <c r="CD743" s="53">
        <f t="shared" si="369"/>
        <v>115</v>
      </c>
      <c r="CE743" s="53">
        <f t="shared" si="369"/>
        <v>49</v>
      </c>
      <c r="CF743" s="53">
        <f t="shared" si="369"/>
        <v>0</v>
      </c>
      <c r="CG743" s="53">
        <f t="shared" si="369"/>
        <v>42</v>
      </c>
      <c r="CH743" s="53">
        <f t="shared" si="369"/>
        <v>2</v>
      </c>
      <c r="CI743" s="53">
        <f t="shared" si="369"/>
        <v>120</v>
      </c>
      <c r="CJ743" s="53">
        <f t="shared" si="369"/>
        <v>127</v>
      </c>
      <c r="CK743" s="53">
        <f t="shared" si="369"/>
        <v>1</v>
      </c>
      <c r="CL743" s="53">
        <f t="shared" si="369"/>
        <v>0</v>
      </c>
      <c r="CM743" s="53">
        <f t="shared" si="369"/>
        <v>7</v>
      </c>
      <c r="CN743" s="53">
        <f t="shared" si="369"/>
        <v>12</v>
      </c>
      <c r="CO743" s="53">
        <f t="shared" si="369"/>
        <v>179</v>
      </c>
      <c r="CP743" s="53">
        <f t="shared" si="369"/>
        <v>0</v>
      </c>
      <c r="CQ743" s="53">
        <f t="shared" si="369"/>
        <v>1</v>
      </c>
      <c r="CR743" s="53">
        <f t="shared" si="369"/>
        <v>0</v>
      </c>
      <c r="CS743" s="53">
        <f t="shared" si="369"/>
        <v>31</v>
      </c>
      <c r="CT743" s="53">
        <f t="shared" si="369"/>
        <v>53</v>
      </c>
      <c r="CU743" s="53">
        <f t="shared" si="369"/>
        <v>0</v>
      </c>
      <c r="CV743" s="53">
        <f t="shared" si="369"/>
        <v>66</v>
      </c>
      <c r="CW743" s="53">
        <f t="shared" si="369"/>
        <v>0</v>
      </c>
      <c r="CX743" s="53">
        <f t="shared" si="369"/>
        <v>4</v>
      </c>
      <c r="CY743" s="53">
        <f t="shared" si="369"/>
        <v>28</v>
      </c>
      <c r="CZ743" s="53">
        <f t="shared" si="369"/>
        <v>0</v>
      </c>
      <c r="DA743" s="53">
        <f t="shared" si="369"/>
        <v>2</v>
      </c>
      <c r="DB743" s="53">
        <f t="shared" si="369"/>
        <v>117</v>
      </c>
      <c r="DC743" s="53">
        <f t="shared" si="369"/>
        <v>22</v>
      </c>
      <c r="DD743" s="53">
        <f t="shared" si="369"/>
        <v>0</v>
      </c>
      <c r="DE743" s="53">
        <f t="shared" si="369"/>
        <v>1</v>
      </c>
      <c r="DF743" s="53">
        <f t="shared" si="369"/>
        <v>3</v>
      </c>
      <c r="DG743" s="53">
        <f t="shared" si="369"/>
        <v>53</v>
      </c>
      <c r="DH743" s="53">
        <f t="shared" si="369"/>
        <v>23</v>
      </c>
      <c r="DI743" s="53">
        <f t="shared" si="369"/>
        <v>20</v>
      </c>
      <c r="DJ743" s="53">
        <f t="shared" si="369"/>
        <v>13</v>
      </c>
      <c r="DK743" s="53">
        <f t="shared" si="369"/>
        <v>4</v>
      </c>
      <c r="DL743" s="53">
        <f t="shared" si="369"/>
        <v>0</v>
      </c>
      <c r="DM743" s="53">
        <f t="shared" si="369"/>
        <v>66</v>
      </c>
      <c r="DN743" s="53">
        <f t="shared" si="369"/>
        <v>1</v>
      </c>
      <c r="DO743" s="53">
        <f t="shared" si="369"/>
        <v>65</v>
      </c>
      <c r="DP743" s="53">
        <f t="shared" si="369"/>
        <v>0</v>
      </c>
      <c r="DQ743" s="53">
        <f t="shared" si="369"/>
        <v>0</v>
      </c>
      <c r="DR743" s="53">
        <f t="shared" si="369"/>
        <v>1</v>
      </c>
      <c r="DS743" s="53">
        <f t="shared" si="369"/>
        <v>50</v>
      </c>
      <c r="DT743" s="53">
        <f t="shared" si="369"/>
        <v>0</v>
      </c>
      <c r="DU743" s="53">
        <f t="shared" si="369"/>
        <v>0</v>
      </c>
      <c r="DV743" s="54">
        <f t="shared" si="356"/>
        <v>1423</v>
      </c>
      <c r="DW743" s="14" t="str">
        <f t="shared" si="355"/>
        <v/>
      </c>
      <c r="DY743" s="323">
        <f t="shared" si="358"/>
        <v>1423</v>
      </c>
    </row>
    <row r="744" spans="1:130" s="6" customFormat="1" ht="12" thickTop="1">
      <c r="A744" s="213" t="s">
        <v>283</v>
      </c>
      <c r="B744" s="24"/>
      <c r="C744" s="39">
        <f t="shared" ref="C744:H744" si="370">ROUND(IF(ISERROR(AVERAGE(C719:C742)),0,AVERAGE(C719:C742)),0)</f>
        <v>3</v>
      </c>
      <c r="D744" s="24">
        <f t="shared" si="370"/>
        <v>23</v>
      </c>
      <c r="E744" s="24">
        <f t="shared" si="370"/>
        <v>2</v>
      </c>
      <c r="F744" s="24">
        <f t="shared" si="370"/>
        <v>1</v>
      </c>
      <c r="G744" s="24">
        <f t="shared" si="370"/>
        <v>1</v>
      </c>
      <c r="H744" s="24">
        <f t="shared" si="370"/>
        <v>1</v>
      </c>
      <c r="I744" s="24">
        <f>ROUND(IF(ISERROR(AVERAGE(I719:I742)),0,AVERAGE(I719:I742)),0)</f>
        <v>0</v>
      </c>
      <c r="J744" s="24">
        <f t="shared" ref="J744:N744" si="371">ROUND(IF(ISERROR(AVERAGE(J719:J742)),0,AVERAGE(J719:J742)),0)</f>
        <v>22</v>
      </c>
      <c r="K744" s="24">
        <f t="shared" si="371"/>
        <v>1</v>
      </c>
      <c r="L744" s="24">
        <f t="shared" si="371"/>
        <v>1</v>
      </c>
      <c r="M744" s="24">
        <f t="shared" si="371"/>
        <v>0</v>
      </c>
      <c r="N744" s="24">
        <f t="shared" si="371"/>
        <v>0</v>
      </c>
      <c r="O744" s="24">
        <f>ROUND(IF(ISERROR(AVERAGE(O719:O742)),0,AVERAGE(O719:O742)),0)</f>
        <v>5</v>
      </c>
      <c r="P744" s="24">
        <f t="shared" ref="P744:R744" si="372">ROUND(IF(ISERROR(AVERAGE(P719:P742)),0,AVERAGE(P719:P742)),0)</f>
        <v>1</v>
      </c>
      <c r="Q744" s="24">
        <f t="shared" si="372"/>
        <v>0</v>
      </c>
      <c r="R744" s="24">
        <f t="shared" si="372"/>
        <v>0</v>
      </c>
      <c r="S744" s="31">
        <f>SUM(C744:R744)</f>
        <v>61</v>
      </c>
      <c r="T744" s="24">
        <f>ROUND(IF(ISERROR(AVERAGE(T719:T742)),0,AVERAGE(T719:T742)),0)</f>
        <v>0</v>
      </c>
      <c r="U744" s="24">
        <f>ROUND(IF(ISERROR(AVERAGE(U719:U742)),0,AVERAGE(U719:U742)),0)</f>
        <v>12</v>
      </c>
      <c r="V744" s="24">
        <f>ROUND(IF(ISERROR(AVERAGE(V719:V742)),0,AVERAGE(V719:V742)),0)</f>
        <v>10</v>
      </c>
      <c r="W744" s="24">
        <f>ROUND(IF(ISERROR(AVERAGE(W719:W742)),0,AVERAGE(W719:W742)),0)</f>
        <v>0</v>
      </c>
      <c r="X744" s="40">
        <f>ROUND(IF(ISERROR(AVERAGE(X719:X742)),0,AVERAGE(X719:X742)),0)</f>
        <v>0</v>
      </c>
      <c r="Z744" s="39">
        <f>ROUND(IF(ISERROR(AVERAGE(Z719:Z742)),0,AVERAGE(Z719:Z742)),0)</f>
        <v>390626</v>
      </c>
      <c r="AA744" s="24">
        <f>ROUND(IF(ISERROR(AVERAGE(AA719:AA742)),0,AVERAGE(AA719:AA742)),0)</f>
        <v>0</v>
      </c>
      <c r="AB744" s="24"/>
      <c r="AC744" s="39">
        <f>ROUND(IF(ISERROR(AVERAGE(AC719:AC742)),0,AVERAGE(AC719:AC742)),0)</f>
        <v>1784120</v>
      </c>
      <c r="AD744" s="24">
        <f>ROUND(IF(ISERROR(AVERAGE(AD719:AD742)),0,AVERAGE(AD719:AD742)),0)</f>
        <v>0</v>
      </c>
      <c r="AE744" s="31">
        <f>SUM(AC744:AD744)</f>
        <v>1784120</v>
      </c>
      <c r="AG744" s="39">
        <f>ROUND(IF(ISERROR(AVERAGE(AG719:AG742)),0,AVERAGE(AG719:AG742)),0)</f>
        <v>98</v>
      </c>
      <c r="AH744" s="24">
        <f>ROUND(IF(ISERROR(AVERAGE(AH719:AH742)),0,AVERAGE(AH719:AH742)),0)</f>
        <v>53</v>
      </c>
      <c r="AI744" s="24">
        <f>ROUND(IF(ISERROR(AVERAGE(AI719:AI742)),0,AVERAGE(AI719:AI742)),0)</f>
        <v>168</v>
      </c>
      <c r="AJ744" s="40">
        <f>ROUND(IF(ISERROR(AVERAGE(AJ719:AJ742)),0,AVERAGE(AJ719:AJ742)),0)</f>
        <v>0</v>
      </c>
      <c r="AL744" s="39">
        <f>ROUND(IF(ISERROR(AVERAGE(AL719:AL742)),0,AVERAGE(AL719:AL742)),0)</f>
        <v>0</v>
      </c>
      <c r="AM744" s="24">
        <f>ROUND(IF(ISERROR(AVERAGE(AM719:AM742)),0,AVERAGE(AM719:AM742)),0)</f>
        <v>36</v>
      </c>
      <c r="AN744" s="31">
        <f>SUM(AL744:AM744)</f>
        <v>36</v>
      </c>
      <c r="AO744" s="285"/>
      <c r="AP744" s="285"/>
      <c r="AQ744" s="281"/>
      <c r="AR744" s="24">
        <f>ROUND(IF(ISERROR(AVERAGE(AR719:AR742)),0,AVERAGE(AR719:AR742)),0)</f>
        <v>154</v>
      </c>
      <c r="AS744" s="24">
        <f>ROUND(IF(ISERROR(AVERAGE(AS719:AS742)),0,AVERAGE(AS719:AS742)),0)</f>
        <v>107</v>
      </c>
      <c r="AT744" s="24">
        <f>ROUND(IF(ISERROR(AVERAGE(AT719:AT742)),0,AVERAGE(AT719:AT742)),0)</f>
        <v>182</v>
      </c>
      <c r="AU744" s="24">
        <f>ROUND(IF(ISERROR(AVERAGE(AU719:AU742)),0,AVERAGE(AU719:AU742)),0)</f>
        <v>21</v>
      </c>
      <c r="AV744" s="40">
        <f>ROUND(IF(ISERROR(AVERAGE(AV719:AV742)),0,AVERAGE(AV719:AV742)),0)</f>
        <v>358</v>
      </c>
      <c r="AX744" s="330"/>
      <c r="AY744" s="40">
        <f>ROUND(IF(ISERROR(AVERAGE(AY719:AY742)),0,AVERAGE(AY719:AY742)),0)</f>
        <v>-2</v>
      </c>
      <c r="BA744" s="39">
        <f t="shared" ref="BA744:BM744" si="373">ROUND(IF(ISERROR(AVERAGE(BA719:BA742)),0,AVERAGE(BA719:BA742)),0)</f>
        <v>1979</v>
      </c>
      <c r="BB744" s="24">
        <f t="shared" si="373"/>
        <v>70918196</v>
      </c>
      <c r="BC744" s="24">
        <f t="shared" si="373"/>
        <v>0</v>
      </c>
      <c r="BD744" s="24">
        <f t="shared" ref="BD744" si="374">ROUND(IF(ISERROR(AVERAGE(BD719:BD742)),0,AVERAGE(BD719:BD742)),0)</f>
        <v>30272972</v>
      </c>
      <c r="BE744" s="24">
        <f t="shared" si="373"/>
        <v>91</v>
      </c>
      <c r="BF744" s="24">
        <f t="shared" si="373"/>
        <v>6</v>
      </c>
      <c r="BG744" s="24">
        <f t="shared" si="373"/>
        <v>5</v>
      </c>
      <c r="BH744" s="31">
        <f>ROUND(IF(ISERROR(AVERAGE(BH719:BH742)),0,AVERAGE(BH719:BH742)),0)</f>
        <v>102</v>
      </c>
      <c r="BI744" s="24">
        <f t="shared" si="373"/>
        <v>4666286</v>
      </c>
      <c r="BJ744" s="340"/>
      <c r="BK744" s="340"/>
      <c r="BL744" s="305">
        <f>AVERAGE(BL719:BL742)</f>
        <v>3.6666666666666665</v>
      </c>
      <c r="BM744" s="40">
        <f t="shared" si="373"/>
        <v>0</v>
      </c>
      <c r="BO744" s="39">
        <f>ROUND(IF(ISERROR(AVERAGE(BO719:BO742)),0,AVERAGE(BO719:BO742)),0)</f>
        <v>0</v>
      </c>
      <c r="BP744" s="40">
        <f>ROUND(IF(ISERROR(AVERAGE(BP719:BP742)),0,AVERAGE(BP719:BP742)),0)</f>
        <v>167</v>
      </c>
      <c r="BR744" s="65" t="s">
        <v>281</v>
      </c>
      <c r="BS744" s="19"/>
      <c r="BT744" s="14"/>
      <c r="BV744" s="39">
        <f t="shared" ref="BV744:BW744" si="375">ROUND(IF(ISERROR(AVERAGE(BV719:BV742)),0,AVERAGE(BV719:BV742)),0)</f>
        <v>3</v>
      </c>
      <c r="BW744" s="24">
        <f t="shared" si="375"/>
        <v>3</v>
      </c>
      <c r="BX744" s="24">
        <f t="shared" ref="BX744:DU744" si="376">ROUND(IF(ISERROR(AVERAGE(BX719:BX742)),0,AVERAGE(BX719:BX742)),0)</f>
        <v>7</v>
      </c>
      <c r="BY744" s="24">
        <f t="shared" si="376"/>
        <v>1</v>
      </c>
      <c r="BZ744" s="24">
        <f t="shared" si="376"/>
        <v>0</v>
      </c>
      <c r="CA744" s="24">
        <f t="shared" si="376"/>
        <v>2</v>
      </c>
      <c r="CB744" s="24">
        <f t="shared" si="376"/>
        <v>0</v>
      </c>
      <c r="CC744" s="24">
        <f t="shared" si="376"/>
        <v>2</v>
      </c>
      <c r="CD744" s="24">
        <f t="shared" si="376"/>
        <v>5</v>
      </c>
      <c r="CE744" s="24">
        <f t="shared" si="376"/>
        <v>5</v>
      </c>
      <c r="CF744" s="24">
        <f t="shared" si="376"/>
        <v>0</v>
      </c>
      <c r="CG744" s="24">
        <f t="shared" si="376"/>
        <v>5</v>
      </c>
      <c r="CH744" s="24">
        <f t="shared" si="376"/>
        <v>2</v>
      </c>
      <c r="CI744" s="24">
        <f t="shared" si="376"/>
        <v>8</v>
      </c>
      <c r="CJ744" s="24">
        <f t="shared" si="376"/>
        <v>6</v>
      </c>
      <c r="CK744" s="24">
        <f t="shared" si="376"/>
        <v>1</v>
      </c>
      <c r="CL744" s="24">
        <f t="shared" si="376"/>
        <v>0</v>
      </c>
      <c r="CM744" s="24">
        <f t="shared" si="376"/>
        <v>1</v>
      </c>
      <c r="CN744" s="24">
        <f t="shared" si="376"/>
        <v>2</v>
      </c>
      <c r="CO744" s="24">
        <f t="shared" si="376"/>
        <v>8</v>
      </c>
      <c r="CP744" s="24">
        <f t="shared" si="376"/>
        <v>0</v>
      </c>
      <c r="CQ744" s="24">
        <f t="shared" si="376"/>
        <v>1</v>
      </c>
      <c r="CR744" s="24">
        <f t="shared" si="376"/>
        <v>0</v>
      </c>
      <c r="CS744" s="24">
        <f t="shared" si="376"/>
        <v>4</v>
      </c>
      <c r="CT744" s="24">
        <f t="shared" si="376"/>
        <v>3</v>
      </c>
      <c r="CU744" s="24">
        <f t="shared" si="376"/>
        <v>0</v>
      </c>
      <c r="CV744" s="24">
        <f t="shared" si="376"/>
        <v>3</v>
      </c>
      <c r="CW744" s="24">
        <f t="shared" si="376"/>
        <v>0</v>
      </c>
      <c r="CX744" s="24">
        <f t="shared" si="376"/>
        <v>1</v>
      </c>
      <c r="CY744" s="24">
        <f t="shared" si="376"/>
        <v>3</v>
      </c>
      <c r="CZ744" s="24">
        <f t="shared" si="376"/>
        <v>0</v>
      </c>
      <c r="DA744" s="24">
        <f t="shared" si="376"/>
        <v>1</v>
      </c>
      <c r="DB744" s="24">
        <f t="shared" si="376"/>
        <v>7</v>
      </c>
      <c r="DC744" s="24">
        <f t="shared" si="376"/>
        <v>11</v>
      </c>
      <c r="DD744" s="24">
        <f t="shared" si="376"/>
        <v>0</v>
      </c>
      <c r="DE744" s="24">
        <f t="shared" si="376"/>
        <v>1</v>
      </c>
      <c r="DF744" s="24">
        <f t="shared" si="376"/>
        <v>2</v>
      </c>
      <c r="DG744" s="24">
        <f t="shared" si="376"/>
        <v>4</v>
      </c>
      <c r="DH744" s="24">
        <f t="shared" si="376"/>
        <v>3</v>
      </c>
      <c r="DI744" s="24">
        <f t="shared" si="376"/>
        <v>3</v>
      </c>
      <c r="DJ744" s="24">
        <f t="shared" si="376"/>
        <v>2</v>
      </c>
      <c r="DK744" s="24">
        <f t="shared" si="376"/>
        <v>2</v>
      </c>
      <c r="DL744" s="24">
        <f t="shared" si="376"/>
        <v>0</v>
      </c>
      <c r="DM744" s="24">
        <f t="shared" si="376"/>
        <v>7</v>
      </c>
      <c r="DN744" s="24">
        <f t="shared" si="376"/>
        <v>1</v>
      </c>
      <c r="DO744" s="24">
        <f t="shared" si="376"/>
        <v>5</v>
      </c>
      <c r="DP744" s="24">
        <f t="shared" si="376"/>
        <v>0</v>
      </c>
      <c r="DQ744" s="24">
        <f t="shared" si="376"/>
        <v>0</v>
      </c>
      <c r="DR744" s="24">
        <f t="shared" si="376"/>
        <v>1</v>
      </c>
      <c r="DS744" s="24">
        <f t="shared" si="376"/>
        <v>3</v>
      </c>
      <c r="DT744" s="24">
        <f t="shared" si="376"/>
        <v>0</v>
      </c>
      <c r="DU744" s="24">
        <f t="shared" si="376"/>
        <v>0</v>
      </c>
      <c r="DV744" s="18"/>
      <c r="DW744" s="48"/>
    </row>
    <row r="745" spans="1:130" s="286" customFormat="1">
      <c r="A745" s="210" t="s">
        <v>284</v>
      </c>
      <c r="B745" s="211"/>
      <c r="C745" s="8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30">
        <f>MEDIAN(S719:S742)</f>
        <v>59</v>
      </c>
      <c r="T745" s="10"/>
      <c r="U745" s="10"/>
      <c r="V745" s="105"/>
      <c r="W745" s="10"/>
      <c r="X745" s="5"/>
      <c r="Y745" s="10"/>
      <c r="Z745" s="8"/>
      <c r="AA745" s="10" t="str">
        <f>IF(ISERROR(MEDIAN(AA719:AA742)),"",MEDIAN(AA719:AA742))</f>
        <v/>
      </c>
      <c r="AB745" s="10"/>
      <c r="AC745" s="8"/>
      <c r="AD745" s="10"/>
      <c r="AE745" s="30"/>
      <c r="AF745" s="10"/>
      <c r="AG745" s="8"/>
      <c r="AH745" s="10"/>
      <c r="AI745" s="10">
        <f>IF(ISERROR(MEDIAN(AI719:AI742)),"",MEDIAN(AI719:AI742))</f>
        <v>169</v>
      </c>
      <c r="AJ745" s="5" t="str">
        <f>IF(ISERROR(MEDIAN(AJ719:AJ742)),"",MEDIAN(AJ719:AJ742))</f>
        <v/>
      </c>
      <c r="AK745" s="10"/>
      <c r="AL745" s="8"/>
      <c r="AM745" s="10"/>
      <c r="AN745" s="30"/>
      <c r="AO745" s="10"/>
      <c r="AP745" s="10"/>
      <c r="AQ745" s="30"/>
      <c r="AR745" s="10"/>
      <c r="AS745" s="10"/>
      <c r="AT745" s="10"/>
      <c r="AU745" s="10"/>
      <c r="AV745" s="5"/>
      <c r="AW745" s="10"/>
      <c r="AX745" s="326"/>
      <c r="AY745" s="5"/>
      <c r="AZ745" s="10"/>
      <c r="BA745" s="8">
        <f>IF(ISERROR(MEDIAN(BA719:BA742)),"",MEDIAN(BA719:BA742))</f>
        <v>1981</v>
      </c>
      <c r="BB745" s="10"/>
      <c r="BC745" s="10"/>
      <c r="BD745" s="10"/>
      <c r="BE745" s="10"/>
      <c r="BF745" s="10"/>
      <c r="BG745" s="10"/>
      <c r="BH745" s="30"/>
      <c r="BI745" s="10"/>
      <c r="BJ745" s="338"/>
      <c r="BK745" s="338"/>
      <c r="BL745" s="303"/>
      <c r="BM745" s="5"/>
      <c r="BN745" s="10"/>
      <c r="BO745" s="8"/>
      <c r="BP745" s="5"/>
      <c r="BQ745" s="10"/>
      <c r="BR745" s="65"/>
      <c r="BS745" s="19"/>
      <c r="BT745" s="14"/>
      <c r="BU745" s="10"/>
      <c r="BV745" s="8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0"/>
      <c r="DE745" s="10"/>
      <c r="DF745" s="10"/>
      <c r="DG745" s="10"/>
      <c r="DH745" s="10"/>
      <c r="DI745" s="10"/>
      <c r="DJ745" s="10"/>
      <c r="DK745" s="10"/>
      <c r="DL745" s="10"/>
      <c r="DM745" s="10"/>
      <c r="DN745" s="10"/>
      <c r="DO745" s="10"/>
      <c r="DP745" s="10"/>
      <c r="DQ745" s="10"/>
      <c r="DR745" s="10"/>
      <c r="DS745" s="10"/>
      <c r="DT745" s="10"/>
      <c r="DU745" s="10"/>
      <c r="DV745" s="5"/>
      <c r="DW745" s="21"/>
    </row>
    <row r="746" spans="1:130" s="286" customFormat="1" ht="12" thickBot="1">
      <c r="A746" s="214" t="s">
        <v>285</v>
      </c>
      <c r="B746" s="195"/>
      <c r="C746" s="41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32">
        <f>MODE(S719:S742)</f>
        <v>37</v>
      </c>
      <c r="T746" s="22"/>
      <c r="U746" s="63"/>
      <c r="V746" s="63"/>
      <c r="W746" s="22"/>
      <c r="X746" s="42"/>
      <c r="Y746" s="22"/>
      <c r="Z746" s="41"/>
      <c r="AA746" s="22"/>
      <c r="AB746" s="22"/>
      <c r="AC746" s="41"/>
      <c r="AD746" s="22"/>
      <c r="AE746" s="32"/>
      <c r="AF746" s="22"/>
      <c r="AG746" s="41"/>
      <c r="AH746" s="22"/>
      <c r="AI746" s="22">
        <f>IF(ISERROR(MODE(AI719:AI742)),"",MODE(AI719:AI742))</f>
        <v>204</v>
      </c>
      <c r="AJ746" s="42" t="str">
        <f>IF(ISERROR(MODE(AJ719:AJ742)),"",MODE(AJ719:AJ742))</f>
        <v/>
      </c>
      <c r="AK746" s="22"/>
      <c r="AL746" s="41"/>
      <c r="AM746" s="22"/>
      <c r="AN746" s="32"/>
      <c r="AO746" s="22"/>
      <c r="AP746" s="22"/>
      <c r="AQ746" s="32"/>
      <c r="AR746" s="22"/>
      <c r="AS746" s="22"/>
      <c r="AT746" s="22"/>
      <c r="AU746" s="22"/>
      <c r="AV746" s="42"/>
      <c r="AW746" s="22"/>
      <c r="AX746" s="331"/>
      <c r="AY746" s="42"/>
      <c r="AZ746" s="22"/>
      <c r="BA746" s="41"/>
      <c r="BB746" s="22"/>
      <c r="BC746" s="22"/>
      <c r="BD746" s="22"/>
      <c r="BE746" s="22"/>
      <c r="BF746" s="22"/>
      <c r="BG746" s="22"/>
      <c r="BH746" s="32"/>
      <c r="BI746" s="22"/>
      <c r="BJ746" s="341"/>
      <c r="BK746" s="341"/>
      <c r="BL746" s="306"/>
      <c r="BM746" s="42"/>
      <c r="BN746" s="22"/>
      <c r="BO746" s="41"/>
      <c r="BP746" s="42"/>
      <c r="BQ746" s="22"/>
      <c r="BR746" s="66"/>
      <c r="BS746" s="51"/>
      <c r="BT746" s="67"/>
      <c r="BU746" s="22"/>
      <c r="BV746" s="41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2"/>
      <c r="CP746" s="22"/>
      <c r="CQ746" s="22"/>
      <c r="CR746" s="22"/>
      <c r="CS746" s="22"/>
      <c r="CT746" s="22"/>
      <c r="CU746" s="22"/>
      <c r="CV746" s="22"/>
      <c r="CW746" s="22"/>
      <c r="CX746" s="22"/>
      <c r="CY746" s="22"/>
      <c r="CZ746" s="22"/>
      <c r="DA746" s="22"/>
      <c r="DB746" s="22"/>
      <c r="DC746" s="22"/>
      <c r="DD746" s="22"/>
      <c r="DE746" s="22"/>
      <c r="DF746" s="22"/>
      <c r="DG746" s="22"/>
      <c r="DH746" s="22"/>
      <c r="DI746" s="22"/>
      <c r="DJ746" s="22"/>
      <c r="DK746" s="22"/>
      <c r="DL746" s="22"/>
      <c r="DM746" s="22"/>
      <c r="DN746" s="22"/>
      <c r="DO746" s="22"/>
      <c r="DP746" s="22"/>
      <c r="DQ746" s="22"/>
      <c r="DR746" s="22"/>
      <c r="DS746" s="22"/>
      <c r="DT746" s="22"/>
      <c r="DU746" s="22"/>
      <c r="DV746" s="42"/>
      <c r="DW746" s="23"/>
    </row>
    <row r="747" spans="1:130" s="286" customFormat="1">
      <c r="A747" s="194" t="s">
        <v>182</v>
      </c>
      <c r="B747" s="194"/>
      <c r="C747" s="8">
        <f>COUNTA(C719:C742)</f>
        <v>24</v>
      </c>
      <c r="D747" s="10"/>
      <c r="E747" s="10"/>
      <c r="F747" s="10">
        <f>SUM(C743:F743)</f>
        <v>691</v>
      </c>
      <c r="G747" s="275">
        <f>G743/F747</f>
        <v>2.1707670043415339E-2</v>
      </c>
      <c r="H747" s="104">
        <f>H743/S743</f>
        <v>1.4757554462403373E-2</v>
      </c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354">
        <f>S743/S712</f>
        <v>1.1721581548599671</v>
      </c>
      <c r="T747" s="10"/>
      <c r="U747" s="98">
        <f>U743/S743</f>
        <v>0.19957835558678846</v>
      </c>
      <c r="V747" s="98">
        <f>V743/S743</f>
        <v>0.17146872803935348</v>
      </c>
      <c r="W747" s="276">
        <f>W743/S743</f>
        <v>0</v>
      </c>
      <c r="X747" s="276">
        <f>X743/S743</f>
        <v>2.8109627547434997E-3</v>
      </c>
      <c r="Y747" s="10"/>
      <c r="Z747" s="8"/>
      <c r="AA747" s="10"/>
      <c r="AB747" s="10"/>
      <c r="AC747" s="8"/>
      <c r="AD747" s="10"/>
      <c r="AE747" s="30"/>
      <c r="AF747" s="10"/>
      <c r="AG747" s="8"/>
      <c r="AH747" s="10"/>
      <c r="AI747" s="10"/>
      <c r="AJ747" s="5"/>
      <c r="AK747" s="10"/>
      <c r="AL747" s="8"/>
      <c r="AM747" s="10"/>
      <c r="AN747" s="30"/>
      <c r="AO747" s="10"/>
      <c r="AP747" s="10"/>
      <c r="AQ747" s="30"/>
      <c r="AR747" s="10"/>
      <c r="AS747" s="10"/>
      <c r="AT747" s="10"/>
      <c r="AU747" s="10"/>
      <c r="AV747" s="5"/>
      <c r="AW747" s="10"/>
      <c r="AX747" s="326"/>
      <c r="AY747" s="5"/>
      <c r="AZ747" s="10"/>
      <c r="BA747" s="8"/>
      <c r="BB747" s="10"/>
      <c r="BC747" s="10"/>
      <c r="BD747" s="10"/>
      <c r="BE747" s="10"/>
      <c r="BF747" s="10"/>
      <c r="BG747" s="10"/>
      <c r="BH747" s="30"/>
      <c r="BI747" s="10"/>
      <c r="BJ747" s="338"/>
      <c r="BK747" s="338"/>
      <c r="BL747" s="303"/>
      <c r="BM747" s="5"/>
      <c r="BN747" s="10"/>
      <c r="BO747" s="8"/>
      <c r="BP747" s="5"/>
      <c r="BQ747" s="10"/>
      <c r="BR747" s="65"/>
      <c r="BS747" s="19"/>
      <c r="BT747" s="14"/>
      <c r="BU747" s="10"/>
      <c r="BV747" s="8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  <c r="DC747" s="10"/>
      <c r="DD747" s="10"/>
      <c r="DE747" s="10"/>
      <c r="DF747" s="10"/>
      <c r="DG747" s="10"/>
      <c r="DH747" s="10"/>
      <c r="DI747" s="10"/>
      <c r="DJ747" s="10"/>
      <c r="DK747" s="10"/>
      <c r="DL747" s="10"/>
      <c r="DM747" s="10"/>
      <c r="DN747" s="10"/>
      <c r="DO747" s="10"/>
      <c r="DP747" s="10"/>
      <c r="DQ747" s="10"/>
      <c r="DR747" s="10"/>
      <c r="DS747" s="10"/>
      <c r="DT747" s="10"/>
      <c r="DU747" s="10"/>
      <c r="DV747" s="5"/>
      <c r="DW747" s="10"/>
    </row>
    <row r="748" spans="1:130" s="286" customFormat="1">
      <c r="A748" s="194"/>
      <c r="B748" s="194"/>
      <c r="C748" s="8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30"/>
      <c r="T748" s="10"/>
      <c r="U748" s="105"/>
      <c r="V748" s="105"/>
      <c r="W748" s="10"/>
      <c r="X748" s="5"/>
      <c r="Y748" s="10"/>
      <c r="Z748" s="8"/>
      <c r="AA748" s="10"/>
      <c r="AB748" s="10"/>
      <c r="AC748" s="8"/>
      <c r="AD748" s="10"/>
      <c r="AE748" s="30"/>
      <c r="AF748" s="10"/>
      <c r="AG748" s="8"/>
      <c r="AH748" s="10"/>
      <c r="AI748" s="10"/>
      <c r="AJ748" s="5"/>
      <c r="AK748" s="10"/>
      <c r="AL748" s="8"/>
      <c r="AM748" s="10"/>
      <c r="AN748" s="30"/>
      <c r="AO748" s="10"/>
      <c r="AP748" s="10"/>
      <c r="AQ748" s="30"/>
      <c r="AR748" s="10"/>
      <c r="AS748" s="10"/>
      <c r="AT748" s="10"/>
      <c r="AU748" s="10"/>
      <c r="AV748" s="5"/>
      <c r="AW748" s="10"/>
      <c r="AX748" s="326"/>
      <c r="AY748" s="5"/>
      <c r="AZ748" s="10"/>
      <c r="BA748" s="8"/>
      <c r="BB748" s="10"/>
      <c r="BC748" s="10"/>
      <c r="BD748" s="10"/>
      <c r="BE748" s="10"/>
      <c r="BF748" s="10"/>
      <c r="BG748" s="10"/>
      <c r="BH748" s="30"/>
      <c r="BI748" s="10"/>
      <c r="BJ748" s="338"/>
      <c r="BK748" s="338"/>
      <c r="BL748" s="303"/>
      <c r="BM748" s="5"/>
      <c r="BN748" s="10"/>
      <c r="BO748" s="8"/>
      <c r="BP748" s="5"/>
      <c r="BQ748" s="10"/>
      <c r="BR748" s="65"/>
      <c r="BS748" s="19"/>
      <c r="BT748" s="14"/>
      <c r="BU748" s="10"/>
      <c r="BV748" s="8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  <c r="DC748" s="10"/>
      <c r="DD748" s="10"/>
      <c r="DE748" s="10"/>
      <c r="DF748" s="10"/>
      <c r="DG748" s="10"/>
      <c r="DH748" s="10"/>
      <c r="DI748" s="10"/>
      <c r="DJ748" s="10"/>
      <c r="DK748" s="10"/>
      <c r="DL748" s="10"/>
      <c r="DM748" s="10"/>
      <c r="DN748" s="10"/>
      <c r="DO748" s="10"/>
      <c r="DP748" s="10"/>
      <c r="DQ748" s="10"/>
      <c r="DR748" s="10"/>
      <c r="DS748" s="10"/>
      <c r="DT748" s="10"/>
      <c r="DU748" s="10"/>
      <c r="DV748" s="5"/>
      <c r="DW748" s="10"/>
    </row>
    <row r="749" spans="1:130" customFormat="1" ht="12" thickBot="1">
      <c r="A749" s="194"/>
      <c r="B749" s="194"/>
      <c r="C749" s="8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30"/>
      <c r="T749" s="10"/>
      <c r="U749" s="10"/>
      <c r="V749" s="10"/>
      <c r="W749" s="10"/>
      <c r="X749" s="5"/>
      <c r="Y749" s="10"/>
      <c r="Z749" s="8"/>
      <c r="AA749" s="10"/>
      <c r="AB749" s="10"/>
      <c r="AC749" s="8"/>
      <c r="AD749" s="10"/>
      <c r="AE749" s="30"/>
      <c r="AF749" s="10"/>
      <c r="AG749" s="8"/>
      <c r="AH749" s="10"/>
      <c r="AI749" s="10"/>
      <c r="AJ749" s="5"/>
      <c r="AK749" s="10"/>
      <c r="AL749" s="8"/>
      <c r="AM749" s="10"/>
      <c r="AN749" s="30"/>
      <c r="AO749" s="10"/>
      <c r="AP749" s="10"/>
      <c r="AQ749" s="30"/>
      <c r="AR749" s="10"/>
      <c r="AS749" s="10"/>
      <c r="AT749" s="10"/>
      <c r="AU749" s="10"/>
      <c r="AV749" s="5"/>
      <c r="AW749" s="10"/>
      <c r="AX749" s="326"/>
      <c r="AY749" s="5"/>
      <c r="AZ749" s="10"/>
      <c r="BA749" s="41"/>
      <c r="BB749" s="22"/>
      <c r="BC749" s="22"/>
      <c r="BD749" s="22"/>
      <c r="BE749" s="22"/>
      <c r="BF749" s="22"/>
      <c r="BG749" s="22"/>
      <c r="BH749" s="32"/>
      <c r="BI749" s="10"/>
      <c r="BJ749" s="338"/>
      <c r="BK749" s="338"/>
      <c r="BL749" s="303"/>
      <c r="BM749" s="5"/>
      <c r="BN749" s="10"/>
      <c r="BO749" s="8"/>
      <c r="BP749" s="5"/>
      <c r="BQ749" s="10"/>
      <c r="BR749" s="65"/>
      <c r="BS749" s="19"/>
      <c r="BT749" s="14"/>
      <c r="BU749" s="10"/>
      <c r="BV749" s="8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  <c r="DC749" s="10"/>
      <c r="DD749" s="10"/>
      <c r="DE749" s="10"/>
      <c r="DF749" s="10"/>
      <c r="DG749" s="10"/>
      <c r="DH749" s="10"/>
      <c r="DI749" s="10"/>
      <c r="DJ749" s="10"/>
      <c r="DK749" s="10"/>
      <c r="DL749" s="10"/>
      <c r="DM749" s="10"/>
      <c r="DN749" s="10"/>
      <c r="DO749" s="10"/>
      <c r="DP749" s="10"/>
      <c r="DQ749" s="10"/>
      <c r="DR749" s="10"/>
      <c r="DS749" s="10"/>
      <c r="DT749" s="10"/>
      <c r="DU749" s="10"/>
      <c r="DV749" s="5"/>
      <c r="DW749" s="10"/>
    </row>
    <row r="750" spans="1:130" s="316" customFormat="1">
      <c r="A750" s="208">
        <v>41091</v>
      </c>
      <c r="B750" s="209"/>
      <c r="C750" s="36">
        <v>6</v>
      </c>
      <c r="D750" s="9">
        <v>12</v>
      </c>
      <c r="E750" s="9">
        <v>15</v>
      </c>
      <c r="F750" s="9">
        <v>0</v>
      </c>
      <c r="G750" s="9">
        <v>3</v>
      </c>
      <c r="H750" s="9">
        <v>1</v>
      </c>
      <c r="I750" s="9">
        <v>0</v>
      </c>
      <c r="J750" s="9">
        <v>37</v>
      </c>
      <c r="K750" s="9">
        <v>0</v>
      </c>
      <c r="L750" s="9">
        <v>0</v>
      </c>
      <c r="M750" s="9">
        <v>0</v>
      </c>
      <c r="N750" s="9">
        <v>0</v>
      </c>
      <c r="O750" s="9">
        <v>0</v>
      </c>
      <c r="P750" s="9">
        <v>3</v>
      </c>
      <c r="Q750" s="9">
        <v>0</v>
      </c>
      <c r="R750" s="9">
        <v>0</v>
      </c>
      <c r="S750" s="33">
        <f>SUM(C750:R750)</f>
        <v>77</v>
      </c>
      <c r="T750" s="9"/>
      <c r="U750" s="9">
        <v>4</v>
      </c>
      <c r="V750" s="9">
        <v>4</v>
      </c>
      <c r="W750" s="9">
        <v>0</v>
      </c>
      <c r="X750" s="37">
        <v>0</v>
      </c>
      <c r="Y750" s="9"/>
      <c r="Z750" s="91">
        <v>457949</v>
      </c>
      <c r="AA750" s="99"/>
      <c r="AB750" s="99"/>
      <c r="AC750" s="91">
        <v>1835530</v>
      </c>
      <c r="AD750" s="9"/>
      <c r="AE750" s="33">
        <f t="shared" ref="AE750:AE773" si="377">SUM(AC750:AD750)</f>
        <v>1835530</v>
      </c>
      <c r="AF750" s="9"/>
      <c r="AG750" s="91">
        <v>103</v>
      </c>
      <c r="AH750" s="92">
        <v>68</v>
      </c>
      <c r="AI750" s="92">
        <v>196</v>
      </c>
      <c r="AJ750" s="93"/>
      <c r="AK750" s="9"/>
      <c r="AL750" s="36">
        <v>0</v>
      </c>
      <c r="AM750" s="9">
        <v>30</v>
      </c>
      <c r="AN750" s="33">
        <f>SUM(AL750:AM750)</f>
        <v>30</v>
      </c>
      <c r="AO750" s="280"/>
      <c r="AP750" s="280"/>
      <c r="AQ750" s="282"/>
      <c r="AR750" s="92">
        <v>159</v>
      </c>
      <c r="AS750" s="92">
        <v>113</v>
      </c>
      <c r="AT750" s="92">
        <v>190</v>
      </c>
      <c r="AU750" s="92">
        <v>21</v>
      </c>
      <c r="AV750" s="93">
        <v>373</v>
      </c>
      <c r="AW750" s="9"/>
      <c r="AX750" s="325">
        <v>41089</v>
      </c>
      <c r="AY750" s="37">
        <f t="shared" ref="AY750:AY767" si="378">AX750-A750</f>
        <v>-2</v>
      </c>
      <c r="AZ750" s="9"/>
      <c r="BA750" s="367">
        <v>1981</v>
      </c>
      <c r="BB750" s="302">
        <v>71295494</v>
      </c>
      <c r="BC750" s="9"/>
      <c r="BD750" s="9">
        <v>30463190</v>
      </c>
      <c r="BE750" s="9">
        <v>103</v>
      </c>
      <c r="BF750" s="9">
        <v>1</v>
      </c>
      <c r="BG750" s="37">
        <v>1</v>
      </c>
      <c r="BH750" s="30">
        <f>SUM(BE750:BG750)</f>
        <v>105</v>
      </c>
      <c r="BI750" s="9">
        <v>4288040</v>
      </c>
      <c r="BJ750" s="337">
        <v>41100</v>
      </c>
      <c r="BK750" s="337">
        <v>41100</v>
      </c>
      <c r="BL750" s="319">
        <f>BK750-BJ750</f>
        <v>0</v>
      </c>
      <c r="BM750" s="37"/>
      <c r="BN750" s="290"/>
      <c r="BO750" s="291"/>
      <c r="BP750" s="37">
        <v>168</v>
      </c>
      <c r="BQ750" s="9"/>
      <c r="BR750" s="74">
        <v>2013</v>
      </c>
      <c r="BS750" s="75">
        <v>2012</v>
      </c>
      <c r="BT750" s="13">
        <v>13</v>
      </c>
      <c r="BU750" s="9"/>
      <c r="BV750" s="36">
        <v>1</v>
      </c>
      <c r="BW750" s="9"/>
      <c r="BX750" s="9"/>
      <c r="BY750" s="9"/>
      <c r="BZ750" s="9"/>
      <c r="CA750" s="9">
        <v>1</v>
      </c>
      <c r="CB750" s="223"/>
      <c r="CC750" s="9"/>
      <c r="CD750" s="9">
        <v>2</v>
      </c>
      <c r="CE750" s="9">
        <v>17</v>
      </c>
      <c r="CF750" s="223"/>
      <c r="CG750" s="9">
        <v>2</v>
      </c>
      <c r="CH750" s="9"/>
      <c r="CI750" s="9">
        <v>11</v>
      </c>
      <c r="CJ750" s="9">
        <v>12</v>
      </c>
      <c r="CK750" s="9"/>
      <c r="CL750" s="9"/>
      <c r="CM750" s="9"/>
      <c r="CN750" s="9"/>
      <c r="CO750" s="9">
        <v>5</v>
      </c>
      <c r="CP750" s="9"/>
      <c r="CQ750" s="9"/>
      <c r="CR750" s="223"/>
      <c r="CS750" s="9"/>
      <c r="CT750" s="9">
        <v>7</v>
      </c>
      <c r="CU750" s="223"/>
      <c r="CV750" s="9">
        <v>1</v>
      </c>
      <c r="CW750" s="9"/>
      <c r="CX750" s="9"/>
      <c r="CY750" s="9"/>
      <c r="CZ750" s="9"/>
      <c r="DA750" s="9"/>
      <c r="DB750" s="9">
        <v>5</v>
      </c>
      <c r="DC750" s="9"/>
      <c r="DD750" s="9"/>
      <c r="DE750" s="9"/>
      <c r="DF750" s="9"/>
      <c r="DG750" s="9">
        <v>4</v>
      </c>
      <c r="DH750" s="9">
        <v>1</v>
      </c>
      <c r="DI750" s="9"/>
      <c r="DJ750" s="9"/>
      <c r="DK750" s="9"/>
      <c r="DL750" s="223"/>
      <c r="DM750" s="9">
        <v>2</v>
      </c>
      <c r="DN750" s="9"/>
      <c r="DO750" s="9">
        <v>1</v>
      </c>
      <c r="DP750" s="9"/>
      <c r="DQ750" s="9"/>
      <c r="DR750" s="9"/>
      <c r="DS750" s="9">
        <v>5</v>
      </c>
      <c r="DT750" s="9"/>
      <c r="DU750" s="9"/>
      <c r="DV750" s="44">
        <f>SUM(BV750:DU750)</f>
        <v>77</v>
      </c>
      <c r="DW750" s="13" t="str">
        <f t="shared" ref="DW750:DW773" si="379">IF(DV750=S750,"","PROB")</f>
        <v/>
      </c>
      <c r="DY750" s="316">
        <f>S750</f>
        <v>77</v>
      </c>
    </row>
    <row r="751" spans="1:130" s="316" customFormat="1">
      <c r="A751" s="210">
        <v>41105</v>
      </c>
      <c r="B751" s="211"/>
      <c r="C751" s="8">
        <v>4</v>
      </c>
      <c r="D751" s="10">
        <v>10</v>
      </c>
      <c r="E751" s="10">
        <v>0</v>
      </c>
      <c r="F751" s="59">
        <v>0</v>
      </c>
      <c r="G751" s="59">
        <v>1</v>
      </c>
      <c r="H751" s="59">
        <v>1</v>
      </c>
      <c r="I751" s="59">
        <v>0</v>
      </c>
      <c r="J751" s="59">
        <v>42</v>
      </c>
      <c r="K751" s="59">
        <v>1</v>
      </c>
      <c r="L751" s="59">
        <v>0</v>
      </c>
      <c r="M751" s="59">
        <v>0</v>
      </c>
      <c r="N751" s="59">
        <v>0</v>
      </c>
      <c r="O751" s="59">
        <v>2</v>
      </c>
      <c r="P751" s="59">
        <v>2</v>
      </c>
      <c r="Q751" s="59">
        <v>0</v>
      </c>
      <c r="R751" s="59">
        <v>0</v>
      </c>
      <c r="S751" s="35">
        <f>SUM(C751:R751)</f>
        <v>63</v>
      </c>
      <c r="T751" s="59"/>
      <c r="U751" s="59">
        <v>15</v>
      </c>
      <c r="V751" s="59">
        <v>12</v>
      </c>
      <c r="W751" s="59">
        <v>0</v>
      </c>
      <c r="X751" s="5">
        <v>0</v>
      </c>
      <c r="Y751" s="10"/>
      <c r="Z751" s="61">
        <v>445194</v>
      </c>
      <c r="AA751" s="219"/>
      <c r="AB751" s="219"/>
      <c r="AC751" s="61">
        <v>927278</v>
      </c>
      <c r="AD751" s="59"/>
      <c r="AE751" s="35">
        <f t="shared" si="377"/>
        <v>927278</v>
      </c>
      <c r="AF751" s="10"/>
      <c r="AG751" s="61">
        <v>79</v>
      </c>
      <c r="AH751" s="59">
        <v>76</v>
      </c>
      <c r="AI751" s="59">
        <v>172</v>
      </c>
      <c r="AJ751" s="62"/>
      <c r="AK751" s="10"/>
      <c r="AL751" s="8"/>
      <c r="AM751" s="10"/>
      <c r="AN751" s="35"/>
      <c r="AO751" s="279"/>
      <c r="AP751" s="279"/>
      <c r="AQ751" s="281"/>
      <c r="AR751" s="59">
        <v>159</v>
      </c>
      <c r="AS751" s="59">
        <v>113</v>
      </c>
      <c r="AT751" s="59">
        <v>192</v>
      </c>
      <c r="AU751" s="59">
        <v>21</v>
      </c>
      <c r="AV751" s="62">
        <v>375</v>
      </c>
      <c r="AW751" s="10"/>
      <c r="AX751" s="326">
        <v>41103</v>
      </c>
      <c r="AY751" s="5">
        <f t="shared" si="378"/>
        <v>-2</v>
      </c>
      <c r="AZ751" s="10"/>
      <c r="BA751" s="364"/>
      <c r="BB751" s="303"/>
      <c r="BC751" s="10"/>
      <c r="BD751" s="10"/>
      <c r="BE751" s="10"/>
      <c r="BF751" s="10"/>
      <c r="BG751" s="5"/>
      <c r="BH751" s="30"/>
      <c r="BJ751" s="327"/>
      <c r="BK751" s="327"/>
      <c r="BL751" s="320"/>
      <c r="BM751" s="5"/>
      <c r="BN751" s="10"/>
      <c r="BO751" s="8"/>
      <c r="BP751" s="5"/>
      <c r="BQ751" s="10"/>
      <c r="BR751" s="29">
        <v>2013</v>
      </c>
      <c r="BS751" s="64">
        <v>2012</v>
      </c>
      <c r="BT751" s="14">
        <v>14</v>
      </c>
      <c r="BU751" s="10"/>
      <c r="BV751" s="8">
        <v>9</v>
      </c>
      <c r="BW751" s="10"/>
      <c r="BX751" s="59"/>
      <c r="BY751" s="59"/>
      <c r="BZ751" s="59"/>
      <c r="CA751" s="59"/>
      <c r="CB751" s="221"/>
      <c r="CC751" s="59"/>
      <c r="CD751" s="59">
        <v>4</v>
      </c>
      <c r="CE751" s="355"/>
      <c r="CF751" s="221"/>
      <c r="CG751" s="59"/>
      <c r="CH751" s="59"/>
      <c r="CI751" s="59"/>
      <c r="CJ751" s="59">
        <v>3</v>
      </c>
      <c r="CK751" s="59"/>
      <c r="CL751" s="59"/>
      <c r="CM751" s="59"/>
      <c r="CN751" s="59"/>
      <c r="CO751" s="59">
        <v>8</v>
      </c>
      <c r="CP751" s="59"/>
      <c r="CQ751" s="59"/>
      <c r="CR751" s="221"/>
      <c r="CS751" s="59"/>
      <c r="CT751" s="59">
        <v>2</v>
      </c>
      <c r="CU751" s="221"/>
      <c r="CV751" s="59">
        <v>4</v>
      </c>
      <c r="CW751" s="59"/>
      <c r="CX751" s="59"/>
      <c r="CY751" s="59">
        <v>5</v>
      </c>
      <c r="CZ751" s="59"/>
      <c r="DA751" s="59"/>
      <c r="DB751" s="59">
        <v>7</v>
      </c>
      <c r="DC751" s="59"/>
      <c r="DD751" s="59"/>
      <c r="DE751" s="59"/>
      <c r="DF751" s="59"/>
      <c r="DG751" s="59">
        <v>12</v>
      </c>
      <c r="DH751" s="59"/>
      <c r="DI751" s="59">
        <v>1</v>
      </c>
      <c r="DJ751" s="59">
        <v>8</v>
      </c>
      <c r="DK751" s="59"/>
      <c r="DL751" s="221"/>
      <c r="DM751" s="59"/>
      <c r="DN751" s="59"/>
      <c r="DO751" s="59"/>
      <c r="DP751" s="59"/>
      <c r="DQ751" s="59"/>
      <c r="DR751" s="59"/>
      <c r="DS751" s="59"/>
      <c r="DT751" s="59"/>
      <c r="DU751" s="59"/>
      <c r="DV751" s="38">
        <f t="shared" ref="DV751:DV774" si="380">SUM(BV751:DU751)</f>
        <v>63</v>
      </c>
      <c r="DW751" s="14" t="str">
        <f t="shared" si="379"/>
        <v/>
      </c>
      <c r="DY751" s="316">
        <f>S751</f>
        <v>63</v>
      </c>
    </row>
    <row r="752" spans="1:130" s="316" customFormat="1">
      <c r="A752" s="210">
        <v>41122</v>
      </c>
      <c r="B752" s="211"/>
      <c r="C752" s="8">
        <v>3</v>
      </c>
      <c r="D752" s="10">
        <v>15</v>
      </c>
      <c r="E752" s="10">
        <v>1</v>
      </c>
      <c r="F752" s="59">
        <v>0</v>
      </c>
      <c r="G752" s="59">
        <v>0</v>
      </c>
      <c r="H752" s="59">
        <v>2</v>
      </c>
      <c r="I752" s="59">
        <v>0</v>
      </c>
      <c r="J752" s="59">
        <v>30</v>
      </c>
      <c r="K752" s="59">
        <v>0</v>
      </c>
      <c r="L752" s="59">
        <v>0</v>
      </c>
      <c r="M752" s="59">
        <v>0</v>
      </c>
      <c r="N752" s="59">
        <v>0</v>
      </c>
      <c r="O752" s="59">
        <v>7</v>
      </c>
      <c r="P752" s="59">
        <v>0</v>
      </c>
      <c r="Q752" s="59">
        <v>0</v>
      </c>
      <c r="R752" s="59">
        <v>0</v>
      </c>
      <c r="S752" s="35">
        <f>SUM(C752:R752)</f>
        <v>58</v>
      </c>
      <c r="T752" s="59"/>
      <c r="U752" s="59">
        <v>28</v>
      </c>
      <c r="V752" s="59">
        <v>24</v>
      </c>
      <c r="W752" s="59">
        <v>0</v>
      </c>
      <c r="X752" s="5">
        <v>0</v>
      </c>
      <c r="Y752" s="10"/>
      <c r="Z752" s="61">
        <v>496325</v>
      </c>
      <c r="AA752" s="100"/>
      <c r="AB752" s="100"/>
      <c r="AC752" s="61">
        <v>1520010</v>
      </c>
      <c r="AD752" s="59"/>
      <c r="AE752" s="35">
        <f t="shared" si="377"/>
        <v>1520010</v>
      </c>
      <c r="AF752" s="10"/>
      <c r="AG752" s="61">
        <v>82</v>
      </c>
      <c r="AH752" s="59">
        <v>83</v>
      </c>
      <c r="AI752" s="59">
        <v>184</v>
      </c>
      <c r="AJ752" s="62"/>
      <c r="AK752" s="10"/>
      <c r="AL752" s="8"/>
      <c r="AM752" s="10"/>
      <c r="AN752" s="35"/>
      <c r="AO752" s="279"/>
      <c r="AP752" s="279"/>
      <c r="AQ752" s="281"/>
      <c r="AR752" s="59">
        <v>159</v>
      </c>
      <c r="AS752" s="59">
        <v>116</v>
      </c>
      <c r="AT752" s="59">
        <v>195</v>
      </c>
      <c r="AU752" s="59">
        <v>21</v>
      </c>
      <c r="AV752" s="62">
        <v>381</v>
      </c>
      <c r="AW752" s="10"/>
      <c r="AX752" s="326">
        <v>41120</v>
      </c>
      <c r="AY752" s="5">
        <f t="shared" si="378"/>
        <v>-2</v>
      </c>
      <c r="AZ752" s="10"/>
      <c r="BA752" s="364">
        <v>1999</v>
      </c>
      <c r="BB752" s="303">
        <v>72182174</v>
      </c>
      <c r="BC752" s="10"/>
      <c r="BD752" s="10">
        <v>30636556</v>
      </c>
      <c r="BE752" s="10">
        <v>172</v>
      </c>
      <c r="BF752" s="10">
        <v>22</v>
      </c>
      <c r="BG752" s="5">
        <v>4</v>
      </c>
      <c r="BH752" s="30">
        <f>SUM(BE752:BG752)</f>
        <v>198</v>
      </c>
      <c r="BI752" s="348">
        <v>8012272</v>
      </c>
      <c r="BJ752" s="327">
        <v>41131</v>
      </c>
      <c r="BK752" s="327">
        <v>41137</v>
      </c>
      <c r="BL752" s="320">
        <f>BK752-BJ752</f>
        <v>6</v>
      </c>
      <c r="BM752" s="5"/>
      <c r="BN752" s="292"/>
      <c r="BO752" s="293"/>
      <c r="BP752" s="5">
        <v>170</v>
      </c>
      <c r="BQ752" s="10"/>
      <c r="BR752" s="29">
        <v>2013</v>
      </c>
      <c r="BS752" s="64">
        <v>2012</v>
      </c>
      <c r="BT752" s="14">
        <v>15</v>
      </c>
      <c r="BU752" s="10"/>
      <c r="BV752" s="8">
        <v>1</v>
      </c>
      <c r="BW752" s="10">
        <v>4</v>
      </c>
      <c r="BX752" s="59"/>
      <c r="BY752" s="59"/>
      <c r="BZ752" s="59"/>
      <c r="CA752" s="59"/>
      <c r="CB752" s="221"/>
      <c r="CC752" s="59"/>
      <c r="CD752" s="59">
        <v>9</v>
      </c>
      <c r="CE752" s="355"/>
      <c r="CF752" s="221"/>
      <c r="CG752" s="59"/>
      <c r="CH752" s="59"/>
      <c r="CI752" s="59">
        <v>2</v>
      </c>
      <c r="CJ752" s="59">
        <v>9</v>
      </c>
      <c r="CK752" s="59"/>
      <c r="CL752" s="59"/>
      <c r="CM752" s="59"/>
      <c r="CN752" s="59"/>
      <c r="CO752" s="59">
        <v>1</v>
      </c>
      <c r="CP752" s="59"/>
      <c r="CQ752" s="59"/>
      <c r="CR752" s="221"/>
      <c r="CS752" s="59"/>
      <c r="CT752" s="59">
        <v>14</v>
      </c>
      <c r="CU752" s="221"/>
      <c r="CV752" s="59">
        <v>6</v>
      </c>
      <c r="CW752" s="59"/>
      <c r="CX752" s="59"/>
      <c r="CY752" s="59">
        <v>1</v>
      </c>
      <c r="CZ752" s="59"/>
      <c r="DA752" s="59">
        <v>1</v>
      </c>
      <c r="DB752" s="59">
        <v>3</v>
      </c>
      <c r="DC752" s="59"/>
      <c r="DD752" s="59"/>
      <c r="DE752" s="59"/>
      <c r="DF752" s="59"/>
      <c r="DG752" s="59"/>
      <c r="DH752" s="59"/>
      <c r="DI752" s="59">
        <v>1</v>
      </c>
      <c r="DJ752" s="59">
        <v>1</v>
      </c>
      <c r="DK752" s="59">
        <v>1</v>
      </c>
      <c r="DL752" s="221"/>
      <c r="DM752" s="59"/>
      <c r="DN752" s="59"/>
      <c r="DO752" s="59"/>
      <c r="DP752" s="59"/>
      <c r="DQ752" s="59"/>
      <c r="DR752" s="59"/>
      <c r="DS752" s="59">
        <v>4</v>
      </c>
      <c r="DT752" s="59"/>
      <c r="DU752" s="59"/>
      <c r="DV752" s="38">
        <f t="shared" si="380"/>
        <v>58</v>
      </c>
      <c r="DW752" s="14" t="str">
        <f t="shared" si="379"/>
        <v/>
      </c>
      <c r="DY752" s="316">
        <f>S752</f>
        <v>58</v>
      </c>
    </row>
    <row r="753" spans="1:130" s="316" customFormat="1">
      <c r="A753" s="210">
        <v>41136</v>
      </c>
      <c r="B753" s="211"/>
      <c r="C753" s="61">
        <v>5</v>
      </c>
      <c r="D753" s="59">
        <v>47</v>
      </c>
      <c r="E753" s="59">
        <v>4</v>
      </c>
      <c r="F753" s="59">
        <v>1</v>
      </c>
      <c r="G753" s="59">
        <v>2</v>
      </c>
      <c r="H753" s="59">
        <v>0</v>
      </c>
      <c r="I753" s="59">
        <v>0</v>
      </c>
      <c r="J753" s="59">
        <v>36</v>
      </c>
      <c r="K753" s="59">
        <v>2</v>
      </c>
      <c r="L753" s="59">
        <v>0</v>
      </c>
      <c r="M753" s="59">
        <v>0</v>
      </c>
      <c r="N753" s="59">
        <v>0</v>
      </c>
      <c r="O753" s="59">
        <v>23</v>
      </c>
      <c r="P753" s="59">
        <v>1</v>
      </c>
      <c r="Q753" s="59">
        <v>0</v>
      </c>
      <c r="R753" s="59">
        <v>0</v>
      </c>
      <c r="S753" s="35">
        <f t="shared" ref="S753:S764" si="381">SUM(C753:R753)</f>
        <v>121</v>
      </c>
      <c r="T753" s="59"/>
      <c r="U753" s="59">
        <v>25</v>
      </c>
      <c r="V753" s="59">
        <v>23</v>
      </c>
      <c r="W753" s="59">
        <v>0</v>
      </c>
      <c r="X753" s="62">
        <v>0</v>
      </c>
      <c r="Y753" s="59"/>
      <c r="Z753" s="61">
        <v>313164</v>
      </c>
      <c r="AA753" s="101"/>
      <c r="AB753" s="101"/>
      <c r="AC753" s="61">
        <v>4324210</v>
      </c>
      <c r="AD753" s="59"/>
      <c r="AE753" s="35">
        <f t="shared" si="377"/>
        <v>4324210</v>
      </c>
      <c r="AF753" s="10"/>
      <c r="AG753" s="61">
        <v>199</v>
      </c>
      <c r="AH753" s="59">
        <v>1</v>
      </c>
      <c r="AI753" s="59">
        <v>216</v>
      </c>
      <c r="AJ753" s="62"/>
      <c r="AK753" s="10"/>
      <c r="AL753" s="8"/>
      <c r="AM753" s="10"/>
      <c r="AN753" s="35"/>
      <c r="AO753" s="279"/>
      <c r="AP753" s="279"/>
      <c r="AQ753" s="281"/>
      <c r="AR753" s="59">
        <v>160</v>
      </c>
      <c r="AS753" s="59">
        <v>117</v>
      </c>
      <c r="AT753" s="59">
        <v>196</v>
      </c>
      <c r="AU753" s="59">
        <v>21</v>
      </c>
      <c r="AV753" s="62">
        <v>382</v>
      </c>
      <c r="AW753" s="10"/>
      <c r="AX753" s="326">
        <v>41134</v>
      </c>
      <c r="AY753" s="5">
        <f t="shared" si="378"/>
        <v>-2</v>
      </c>
      <c r="AZ753" s="10"/>
      <c r="BA753" s="364"/>
      <c r="BB753" s="303"/>
      <c r="BC753" s="10"/>
      <c r="BD753" s="10"/>
      <c r="BE753" s="10"/>
      <c r="BF753" s="10"/>
      <c r="BG753" s="5"/>
      <c r="BH753" s="30"/>
      <c r="BJ753" s="327"/>
      <c r="BK753" s="327"/>
      <c r="BL753" s="320"/>
      <c r="BM753" s="5"/>
      <c r="BN753" s="10"/>
      <c r="BO753" s="8"/>
      <c r="BP753" s="5"/>
      <c r="BQ753" s="10"/>
      <c r="BR753" s="29">
        <v>2013</v>
      </c>
      <c r="BS753" s="64">
        <v>2012</v>
      </c>
      <c r="BT753" s="14">
        <v>16</v>
      </c>
      <c r="BU753" s="10"/>
      <c r="BV753" s="8"/>
      <c r="BW753" s="59"/>
      <c r="BX753" s="59"/>
      <c r="BY753" s="59"/>
      <c r="BZ753" s="59">
        <v>3</v>
      </c>
      <c r="CA753" s="59"/>
      <c r="CB753" s="221"/>
      <c r="CC753" s="59"/>
      <c r="CD753" s="59">
        <v>10</v>
      </c>
      <c r="CE753" s="355"/>
      <c r="CF753" s="221"/>
      <c r="CG753" s="59"/>
      <c r="CH753" s="59"/>
      <c r="CI753" s="59">
        <v>21</v>
      </c>
      <c r="CJ753" s="59">
        <v>10</v>
      </c>
      <c r="CK753" s="59"/>
      <c r="CL753" s="59"/>
      <c r="CM753" s="59">
        <v>7</v>
      </c>
      <c r="CN753" s="59">
        <v>1</v>
      </c>
      <c r="CO753" s="59">
        <v>9</v>
      </c>
      <c r="CP753" s="59"/>
      <c r="CQ753" s="59"/>
      <c r="CR753" s="221"/>
      <c r="CS753" s="59"/>
      <c r="CT753" s="59"/>
      <c r="CU753" s="221"/>
      <c r="CV753" s="59">
        <v>8</v>
      </c>
      <c r="CW753" s="59"/>
      <c r="CX753" s="59"/>
      <c r="CY753" s="59"/>
      <c r="CZ753" s="59"/>
      <c r="DA753" s="59"/>
      <c r="DB753" s="59">
        <v>6</v>
      </c>
      <c r="DC753" s="59">
        <v>14</v>
      </c>
      <c r="DD753" s="59"/>
      <c r="DE753" s="59"/>
      <c r="DF753" s="59"/>
      <c r="DG753" s="59">
        <v>1</v>
      </c>
      <c r="DH753" s="59">
        <v>1</v>
      </c>
      <c r="DI753" s="59"/>
      <c r="DJ753" s="59"/>
      <c r="DK753" s="59"/>
      <c r="DL753" s="221"/>
      <c r="DM753" s="59">
        <v>2</v>
      </c>
      <c r="DN753" s="59"/>
      <c r="DO753" s="59">
        <v>9</v>
      </c>
      <c r="DP753" s="59"/>
      <c r="DQ753" s="59">
        <v>1</v>
      </c>
      <c r="DR753" s="59"/>
      <c r="DS753" s="59">
        <v>18</v>
      </c>
      <c r="DT753" s="59"/>
      <c r="DU753" s="59"/>
      <c r="DV753" s="38">
        <f t="shared" si="380"/>
        <v>121</v>
      </c>
      <c r="DW753" s="14" t="str">
        <f t="shared" si="379"/>
        <v/>
      </c>
      <c r="DY753" s="316">
        <f>S753</f>
        <v>121</v>
      </c>
    </row>
    <row r="754" spans="1:130" s="316" customFormat="1">
      <c r="A754" s="210">
        <v>41153</v>
      </c>
      <c r="B754" s="211"/>
      <c r="C754" s="61">
        <v>3</v>
      </c>
      <c r="D754" s="59">
        <v>24</v>
      </c>
      <c r="E754" s="59">
        <v>0</v>
      </c>
      <c r="F754" s="59">
        <v>0</v>
      </c>
      <c r="G754" s="59">
        <v>0</v>
      </c>
      <c r="H754" s="59">
        <v>0</v>
      </c>
      <c r="I754" s="59">
        <v>0</v>
      </c>
      <c r="J754" s="59">
        <v>18</v>
      </c>
      <c r="K754" s="59">
        <v>0</v>
      </c>
      <c r="L754" s="59">
        <v>0</v>
      </c>
      <c r="M754" s="59">
        <v>0</v>
      </c>
      <c r="N754" s="59">
        <v>0</v>
      </c>
      <c r="O754" s="59">
        <v>2</v>
      </c>
      <c r="P754" s="59">
        <v>1</v>
      </c>
      <c r="Q754" s="59">
        <v>0</v>
      </c>
      <c r="R754" s="59">
        <v>0</v>
      </c>
      <c r="S754" s="35">
        <f t="shared" si="381"/>
        <v>48</v>
      </c>
      <c r="T754" s="59"/>
      <c r="U754" s="59">
        <v>1</v>
      </c>
      <c r="V754" s="59">
        <v>1</v>
      </c>
      <c r="W754" s="59">
        <v>0</v>
      </c>
      <c r="X754" s="62">
        <v>0</v>
      </c>
      <c r="Y754" s="59"/>
      <c r="Z754" s="61">
        <v>599329</v>
      </c>
      <c r="AA754" s="101"/>
      <c r="AB754" s="101"/>
      <c r="AC754" s="61">
        <v>896998</v>
      </c>
      <c r="AD754" s="59"/>
      <c r="AE754" s="35">
        <f t="shared" si="377"/>
        <v>896998</v>
      </c>
      <c r="AF754" s="10"/>
      <c r="AG754" s="61">
        <v>106</v>
      </c>
      <c r="AH754" s="59">
        <v>94</v>
      </c>
      <c r="AI754" s="59">
        <v>212</v>
      </c>
      <c r="AJ754" s="62"/>
      <c r="AK754" s="10"/>
      <c r="AL754" s="8"/>
      <c r="AM754" s="10"/>
      <c r="AN754" s="35"/>
      <c r="AO754" s="279"/>
      <c r="AP754" s="279"/>
      <c r="AQ754" s="281"/>
      <c r="AR754" s="59">
        <v>158</v>
      </c>
      <c r="AS754" s="59">
        <v>117</v>
      </c>
      <c r="AT754" s="59">
        <v>194</v>
      </c>
      <c r="AU754" s="59">
        <v>21</v>
      </c>
      <c r="AV754" s="62">
        <v>380</v>
      </c>
      <c r="AW754" s="10"/>
      <c r="AX754" s="326">
        <v>41151</v>
      </c>
      <c r="AY754" s="5">
        <f t="shared" si="378"/>
        <v>-2</v>
      </c>
      <c r="AZ754" s="10"/>
      <c r="BA754" s="364">
        <v>2005</v>
      </c>
      <c r="BB754" s="307">
        <v>72681456</v>
      </c>
      <c r="BC754" s="10"/>
      <c r="BD754" s="59">
        <v>30683587</v>
      </c>
      <c r="BE754" s="10">
        <v>60</v>
      </c>
      <c r="BF754" s="59">
        <v>9</v>
      </c>
      <c r="BG754" s="62">
        <v>3</v>
      </c>
      <c r="BH754" s="30">
        <f>SUM(BE754:BG754)</f>
        <v>72</v>
      </c>
      <c r="BI754" s="59">
        <v>3166009</v>
      </c>
      <c r="BJ754" s="327">
        <v>41162</v>
      </c>
      <c r="BK754" s="327">
        <v>41162</v>
      </c>
      <c r="BL754" s="320">
        <f>BK754-BJ754</f>
        <v>0</v>
      </c>
      <c r="BM754" s="5"/>
      <c r="BN754" s="101"/>
      <c r="BO754" s="294"/>
      <c r="BP754" s="5">
        <v>170</v>
      </c>
      <c r="BQ754" s="10"/>
      <c r="BR754" s="29">
        <v>2013</v>
      </c>
      <c r="BS754" s="64">
        <v>2012</v>
      </c>
      <c r="BT754" s="14">
        <v>17</v>
      </c>
      <c r="BU754" s="10"/>
      <c r="BV754" s="8">
        <v>3</v>
      </c>
      <c r="BW754" s="59"/>
      <c r="BX754" s="59"/>
      <c r="BY754" s="59"/>
      <c r="BZ754" s="59"/>
      <c r="CA754" s="59"/>
      <c r="CB754" s="221"/>
      <c r="CC754" s="59"/>
      <c r="CD754" s="59">
        <v>3</v>
      </c>
      <c r="CE754" s="355"/>
      <c r="CF754" s="221"/>
      <c r="CG754" s="59"/>
      <c r="CH754" s="59"/>
      <c r="CI754" s="59">
        <v>26</v>
      </c>
      <c r="CJ754" s="59">
        <v>5</v>
      </c>
      <c r="CK754" s="59"/>
      <c r="CL754" s="59"/>
      <c r="CM754" s="59"/>
      <c r="CN754" s="59">
        <v>1</v>
      </c>
      <c r="CO754" s="59">
        <v>2</v>
      </c>
      <c r="CP754" s="59"/>
      <c r="CQ754" s="59"/>
      <c r="CR754" s="221"/>
      <c r="CS754" s="59"/>
      <c r="CT754" s="59"/>
      <c r="CU754" s="221"/>
      <c r="CV754" s="59">
        <v>3</v>
      </c>
      <c r="CW754" s="59"/>
      <c r="CX754" s="59"/>
      <c r="CY754" s="59"/>
      <c r="CZ754" s="59"/>
      <c r="DA754" s="59"/>
      <c r="DB754" s="59">
        <v>1</v>
      </c>
      <c r="DC754" s="59"/>
      <c r="DD754" s="59"/>
      <c r="DE754" s="59"/>
      <c r="DF754" s="59"/>
      <c r="DG754" s="59">
        <v>1</v>
      </c>
      <c r="DH754" s="59"/>
      <c r="DI754" s="59"/>
      <c r="DJ754" s="59">
        <v>1</v>
      </c>
      <c r="DK754" s="59"/>
      <c r="DL754" s="221"/>
      <c r="DM754" s="59"/>
      <c r="DN754" s="59"/>
      <c r="DO754" s="59">
        <v>2</v>
      </c>
      <c r="DP754" s="59"/>
      <c r="DQ754" s="59"/>
      <c r="DR754" s="59"/>
      <c r="DS754" s="59"/>
      <c r="DT754" s="59"/>
      <c r="DU754" s="59"/>
      <c r="DV754" s="38">
        <f t="shared" si="380"/>
        <v>48</v>
      </c>
      <c r="DW754" s="14" t="str">
        <f t="shared" si="379"/>
        <v/>
      </c>
      <c r="DY754" s="316">
        <f>S754</f>
        <v>48</v>
      </c>
    </row>
    <row r="755" spans="1:130" s="316" customFormat="1">
      <c r="A755" s="210">
        <v>41167</v>
      </c>
      <c r="B755" s="211"/>
      <c r="C755" s="61">
        <v>3</v>
      </c>
      <c r="D755" s="59">
        <v>18</v>
      </c>
      <c r="E755" s="59">
        <v>6</v>
      </c>
      <c r="F755" s="59">
        <v>0</v>
      </c>
      <c r="G755" s="59">
        <v>1</v>
      </c>
      <c r="H755" s="59">
        <v>1</v>
      </c>
      <c r="I755" s="59">
        <v>0</v>
      </c>
      <c r="J755" s="59">
        <v>12</v>
      </c>
      <c r="K755" s="59">
        <v>0</v>
      </c>
      <c r="L755" s="59">
        <v>0</v>
      </c>
      <c r="M755" s="59">
        <v>0</v>
      </c>
      <c r="N755" s="59">
        <v>0</v>
      </c>
      <c r="O755" s="59">
        <v>2</v>
      </c>
      <c r="P755" s="59">
        <v>0</v>
      </c>
      <c r="Q755" s="59">
        <v>0</v>
      </c>
      <c r="R755" s="59">
        <v>0</v>
      </c>
      <c r="S755" s="35">
        <f t="shared" si="381"/>
        <v>43</v>
      </c>
      <c r="T755" s="59"/>
      <c r="U755" s="59">
        <v>7</v>
      </c>
      <c r="V755" s="59">
        <v>6</v>
      </c>
      <c r="W755" s="59">
        <v>0</v>
      </c>
      <c r="X755" s="62">
        <v>0</v>
      </c>
      <c r="Y755" s="59"/>
      <c r="Z755" s="61">
        <v>551095</v>
      </c>
      <c r="AA755" s="101"/>
      <c r="AB755" s="101"/>
      <c r="AC755" s="61">
        <v>1435326</v>
      </c>
      <c r="AD755" s="59"/>
      <c r="AE755" s="35">
        <f t="shared" si="377"/>
        <v>1435326</v>
      </c>
      <c r="AF755" s="10"/>
      <c r="AG755" s="61">
        <v>80</v>
      </c>
      <c r="AH755" s="59">
        <v>97</v>
      </c>
      <c r="AI755" s="59">
        <v>192</v>
      </c>
      <c r="AJ755" s="62"/>
      <c r="AK755" s="10"/>
      <c r="AL755" s="8"/>
      <c r="AM755" s="10"/>
      <c r="AN755" s="35"/>
      <c r="AO755" s="279"/>
      <c r="AP755" s="279"/>
      <c r="AQ755" s="281"/>
      <c r="AR755" s="59">
        <v>159</v>
      </c>
      <c r="AS755" s="59">
        <v>117</v>
      </c>
      <c r="AT755" s="59">
        <v>192</v>
      </c>
      <c r="AU755" s="59">
        <v>21</v>
      </c>
      <c r="AV755" s="62">
        <v>378</v>
      </c>
      <c r="AW755" s="10"/>
      <c r="AX755" s="326">
        <v>41166</v>
      </c>
      <c r="AY755" s="5">
        <f t="shared" si="378"/>
        <v>-1</v>
      </c>
      <c r="AZ755" s="10"/>
      <c r="BA755" s="364"/>
      <c r="BB755" s="303"/>
      <c r="BC755" s="10"/>
      <c r="BD755" s="10"/>
      <c r="BE755" s="10"/>
      <c r="BF755" s="10"/>
      <c r="BG755" s="5"/>
      <c r="BH755" s="30"/>
      <c r="BJ755" s="327"/>
      <c r="BK755" s="327"/>
      <c r="BL755" s="320"/>
      <c r="BM755" s="5"/>
      <c r="BN755" s="10"/>
      <c r="BO755" s="8"/>
      <c r="BP755" s="5"/>
      <c r="BQ755" s="10"/>
      <c r="BR755" s="29">
        <v>2013</v>
      </c>
      <c r="BS755" s="64">
        <v>2012</v>
      </c>
      <c r="BT755" s="14">
        <v>18</v>
      </c>
      <c r="BU755" s="10"/>
      <c r="BV755" s="8"/>
      <c r="BW755" s="59">
        <v>2</v>
      </c>
      <c r="BX755" s="59"/>
      <c r="BY755" s="59"/>
      <c r="BZ755" s="59"/>
      <c r="CA755" s="59"/>
      <c r="CB755" s="221"/>
      <c r="CC755" s="59"/>
      <c r="CD755" s="59">
        <v>1</v>
      </c>
      <c r="CE755" s="355"/>
      <c r="CF755" s="221"/>
      <c r="CG755" s="59"/>
      <c r="CH755" s="59"/>
      <c r="CI755" s="59"/>
      <c r="CJ755" s="59"/>
      <c r="CK755" s="59"/>
      <c r="CL755" s="59"/>
      <c r="CM755" s="59"/>
      <c r="CN755" s="59">
        <v>2</v>
      </c>
      <c r="CO755" s="59">
        <v>3</v>
      </c>
      <c r="CP755" s="59"/>
      <c r="CQ755" s="59"/>
      <c r="CR755" s="221"/>
      <c r="CS755" s="59"/>
      <c r="CT755" s="59">
        <v>9</v>
      </c>
      <c r="CU755" s="221"/>
      <c r="CV755" s="59">
        <v>5</v>
      </c>
      <c r="CW755" s="59"/>
      <c r="CX755" s="59">
        <v>1</v>
      </c>
      <c r="CY755" s="59">
        <v>5</v>
      </c>
      <c r="CZ755" s="59"/>
      <c r="DA755" s="59"/>
      <c r="DB755" s="59">
        <v>4</v>
      </c>
      <c r="DC755" s="59"/>
      <c r="DD755" s="59"/>
      <c r="DE755" s="59"/>
      <c r="DF755" s="59"/>
      <c r="DG755" s="59">
        <v>2</v>
      </c>
      <c r="DH755" s="59"/>
      <c r="DI755" s="59"/>
      <c r="DJ755" s="59"/>
      <c r="DK755" s="59"/>
      <c r="DL755" s="221"/>
      <c r="DM755" s="59">
        <v>3</v>
      </c>
      <c r="DN755" s="59">
        <v>2</v>
      </c>
      <c r="DO755" s="59">
        <v>4</v>
      </c>
      <c r="DP755" s="59"/>
      <c r="DQ755" s="59"/>
      <c r="DR755" s="59"/>
      <c r="DS755" s="59"/>
      <c r="DT755" s="59"/>
      <c r="DU755" s="59"/>
      <c r="DV755" s="38">
        <f t="shared" si="380"/>
        <v>43</v>
      </c>
      <c r="DW755" s="14" t="str">
        <f t="shared" si="379"/>
        <v/>
      </c>
      <c r="DY755" s="316">
        <f t="shared" ref="DY755:DY773" si="382">S755</f>
        <v>43</v>
      </c>
    </row>
    <row r="756" spans="1:130" s="316" customFormat="1">
      <c r="A756" s="210">
        <v>41183</v>
      </c>
      <c r="B756" s="211"/>
      <c r="C756" s="61">
        <v>18</v>
      </c>
      <c r="D756" s="59">
        <v>25</v>
      </c>
      <c r="E756" s="59">
        <v>1</v>
      </c>
      <c r="F756" s="59">
        <v>0</v>
      </c>
      <c r="G756" s="59">
        <v>0</v>
      </c>
      <c r="H756" s="59">
        <v>0</v>
      </c>
      <c r="I756" s="59">
        <v>0</v>
      </c>
      <c r="J756" s="59">
        <v>11</v>
      </c>
      <c r="K756" s="59">
        <v>0</v>
      </c>
      <c r="L756" s="59">
        <v>0</v>
      </c>
      <c r="M756" s="59">
        <v>0</v>
      </c>
      <c r="N756" s="59">
        <v>0</v>
      </c>
      <c r="O756" s="59">
        <v>10</v>
      </c>
      <c r="P756" s="59">
        <v>0</v>
      </c>
      <c r="Q756" s="59">
        <v>0</v>
      </c>
      <c r="R756" s="59">
        <v>0</v>
      </c>
      <c r="S756" s="35">
        <f t="shared" si="381"/>
        <v>65</v>
      </c>
      <c r="T756" s="59"/>
      <c r="U756" s="59">
        <v>9</v>
      </c>
      <c r="V756" s="59">
        <v>8</v>
      </c>
      <c r="W756" s="59">
        <v>0</v>
      </c>
      <c r="X756" s="5">
        <v>0</v>
      </c>
      <c r="Y756" s="10"/>
      <c r="Z756" s="61">
        <v>612387</v>
      </c>
      <c r="AA756" s="101"/>
      <c r="AB756" s="101"/>
      <c r="AC756" s="61">
        <v>2561654</v>
      </c>
      <c r="AD756" s="59"/>
      <c r="AE756" s="35">
        <f t="shared" si="377"/>
        <v>2561654</v>
      </c>
      <c r="AF756" s="10"/>
      <c r="AG756" s="61">
        <v>118</v>
      </c>
      <c r="AH756" s="59">
        <v>100</v>
      </c>
      <c r="AI756" s="59">
        <v>236</v>
      </c>
      <c r="AJ756" s="62"/>
      <c r="AK756" s="10"/>
      <c r="AL756" s="61">
        <v>0</v>
      </c>
      <c r="AM756" s="59">
        <v>34</v>
      </c>
      <c r="AN756" s="35">
        <f>SUM(AL756:AM756)</f>
        <v>34</v>
      </c>
      <c r="AO756" s="279"/>
      <c r="AP756" s="279"/>
      <c r="AQ756" s="281"/>
      <c r="AR756" s="59">
        <v>159</v>
      </c>
      <c r="AS756" s="59">
        <v>119</v>
      </c>
      <c r="AT756" s="59">
        <v>192</v>
      </c>
      <c r="AU756" s="59">
        <v>21</v>
      </c>
      <c r="AV756" s="62">
        <v>380</v>
      </c>
      <c r="AW756" s="10"/>
      <c r="AX756" s="326">
        <v>41179</v>
      </c>
      <c r="AY756" s="5">
        <f t="shared" si="378"/>
        <v>-4</v>
      </c>
      <c r="AZ756" s="10"/>
      <c r="BA756" s="364">
        <v>1992</v>
      </c>
      <c r="BB756" s="303">
        <v>72471182</v>
      </c>
      <c r="BC756" s="10"/>
      <c r="BD756" s="10">
        <v>30634096</v>
      </c>
      <c r="BE756" s="10">
        <v>118</v>
      </c>
      <c r="BF756" s="10">
        <v>5</v>
      </c>
      <c r="BG756" s="5">
        <v>18</v>
      </c>
      <c r="BH756" s="30">
        <f>SUM(BE756:BG756)</f>
        <v>141</v>
      </c>
      <c r="BI756" s="356">
        <v>3960269</v>
      </c>
      <c r="BJ756" s="327">
        <v>41192</v>
      </c>
      <c r="BK756" s="327">
        <v>41205</v>
      </c>
      <c r="BL756" s="320">
        <f>BK756-BJ756</f>
        <v>13</v>
      </c>
      <c r="BM756" s="5"/>
      <c r="BN756" s="10"/>
      <c r="BO756" s="8"/>
      <c r="BP756" s="5">
        <v>167</v>
      </c>
      <c r="BQ756" s="10"/>
      <c r="BR756" s="29">
        <v>2013</v>
      </c>
      <c r="BS756" s="64">
        <v>2012</v>
      </c>
      <c r="BT756" s="14">
        <v>19</v>
      </c>
      <c r="BU756" s="10"/>
      <c r="BV756" s="8"/>
      <c r="BW756" s="59"/>
      <c r="BX756" s="59"/>
      <c r="BY756" s="59"/>
      <c r="BZ756" s="59"/>
      <c r="CA756" s="59"/>
      <c r="CB756" s="221"/>
      <c r="CC756" s="59"/>
      <c r="CD756" s="59">
        <v>3</v>
      </c>
      <c r="CE756" s="355">
        <v>2</v>
      </c>
      <c r="CF756" s="221"/>
      <c r="CG756" s="59"/>
      <c r="CH756" s="59"/>
      <c r="CI756" s="59">
        <v>13</v>
      </c>
      <c r="CJ756" s="59">
        <v>24</v>
      </c>
      <c r="CK756" s="59"/>
      <c r="CL756" s="59"/>
      <c r="CM756" s="59">
        <v>3</v>
      </c>
      <c r="CN756" s="59">
        <v>1</v>
      </c>
      <c r="CO756" s="59">
        <v>6</v>
      </c>
      <c r="CP756" s="59">
        <v>1</v>
      </c>
      <c r="CQ756" s="59"/>
      <c r="CR756" s="221"/>
      <c r="CS756" s="59"/>
      <c r="CT756" s="59">
        <v>1</v>
      </c>
      <c r="CU756" s="221"/>
      <c r="CV756" s="59">
        <v>1</v>
      </c>
      <c r="CW756" s="59"/>
      <c r="CX756" s="59"/>
      <c r="CY756" s="59"/>
      <c r="CZ756" s="59"/>
      <c r="DA756" s="59"/>
      <c r="DB756" s="59">
        <v>2</v>
      </c>
      <c r="DC756" s="59"/>
      <c r="DD756" s="59">
        <v>1</v>
      </c>
      <c r="DE756" s="59"/>
      <c r="DF756" s="59"/>
      <c r="DG756" s="59"/>
      <c r="DH756" s="59"/>
      <c r="DI756" s="59"/>
      <c r="DJ756" s="59"/>
      <c r="DK756" s="59"/>
      <c r="DL756" s="221"/>
      <c r="DM756" s="59"/>
      <c r="DN756" s="59"/>
      <c r="DO756" s="59">
        <v>1</v>
      </c>
      <c r="DP756" s="59"/>
      <c r="DQ756" s="59"/>
      <c r="DR756" s="59"/>
      <c r="DS756" s="59">
        <v>6</v>
      </c>
      <c r="DT756" s="59"/>
      <c r="DU756" s="59"/>
      <c r="DV756" s="38">
        <f t="shared" si="380"/>
        <v>65</v>
      </c>
      <c r="DW756" s="14" t="str">
        <f t="shared" si="379"/>
        <v/>
      </c>
      <c r="DY756" s="316">
        <f t="shared" si="382"/>
        <v>65</v>
      </c>
    </row>
    <row r="757" spans="1:130" s="316" customFormat="1">
      <c r="A757" s="210">
        <v>41197</v>
      </c>
      <c r="B757" s="211"/>
      <c r="C757" s="61">
        <v>3</v>
      </c>
      <c r="D757" s="59">
        <v>19</v>
      </c>
      <c r="E757" s="59">
        <v>5</v>
      </c>
      <c r="F757" s="59">
        <v>2</v>
      </c>
      <c r="G757" s="59">
        <v>1</v>
      </c>
      <c r="H757" s="59">
        <v>0</v>
      </c>
      <c r="I757" s="59">
        <v>0</v>
      </c>
      <c r="J757" s="59">
        <v>59</v>
      </c>
      <c r="K757" s="59">
        <v>4</v>
      </c>
      <c r="L757" s="59">
        <v>0</v>
      </c>
      <c r="M757" s="59">
        <v>0</v>
      </c>
      <c r="N757" s="59">
        <v>0</v>
      </c>
      <c r="O757" s="59">
        <v>37</v>
      </c>
      <c r="P757" s="59">
        <v>0</v>
      </c>
      <c r="Q757" s="59">
        <v>0</v>
      </c>
      <c r="R757" s="59">
        <v>0</v>
      </c>
      <c r="S757" s="35">
        <f t="shared" si="381"/>
        <v>130</v>
      </c>
      <c r="T757" s="59"/>
      <c r="U757" s="59">
        <v>13</v>
      </c>
      <c r="V757" s="59">
        <v>13</v>
      </c>
      <c r="W757" s="59">
        <v>0</v>
      </c>
      <c r="X757" s="5">
        <v>0</v>
      </c>
      <c r="Y757" s="10"/>
      <c r="Z757" s="61">
        <v>384784</v>
      </c>
      <c r="AA757" s="101"/>
      <c r="AB757" s="101"/>
      <c r="AC757" s="61">
        <v>2184067</v>
      </c>
      <c r="AD757" s="59"/>
      <c r="AE757" s="35">
        <f t="shared" si="377"/>
        <v>2184067</v>
      </c>
      <c r="AF757" s="10"/>
      <c r="AG757" s="61">
        <v>150</v>
      </c>
      <c r="AH757" s="59">
        <v>31</v>
      </c>
      <c r="AI757" s="59">
        <v>197</v>
      </c>
      <c r="AJ757" s="62"/>
      <c r="AK757" s="10"/>
      <c r="AL757" s="8"/>
      <c r="AM757" s="59"/>
      <c r="AN757" s="35"/>
      <c r="AO757" s="279"/>
      <c r="AP757" s="279"/>
      <c r="AQ757" s="281"/>
      <c r="AR757" s="59">
        <v>156</v>
      </c>
      <c r="AS757" s="59">
        <v>122</v>
      </c>
      <c r="AT757" s="59">
        <v>192</v>
      </c>
      <c r="AU757" s="59">
        <v>22</v>
      </c>
      <c r="AV757" s="62">
        <v>384</v>
      </c>
      <c r="AW757" s="10"/>
      <c r="AX757" s="326">
        <v>41195</v>
      </c>
      <c r="AY757" s="5">
        <f t="shared" si="378"/>
        <v>-2</v>
      </c>
      <c r="AZ757" s="10"/>
      <c r="BA757" s="364"/>
      <c r="BB757" s="303"/>
      <c r="BC757" s="10"/>
      <c r="BD757" s="10"/>
      <c r="BE757" s="10"/>
      <c r="BF757" s="10"/>
      <c r="BG757" s="5"/>
      <c r="BH757" s="30"/>
      <c r="BI757" s="356"/>
      <c r="BJ757" s="327"/>
      <c r="BK757" s="327"/>
      <c r="BL757" s="320"/>
      <c r="BM757" s="5"/>
      <c r="BN757" s="10"/>
      <c r="BO757" s="8"/>
      <c r="BP757" s="5"/>
      <c r="BQ757" s="10"/>
      <c r="BR757" s="29">
        <v>2013</v>
      </c>
      <c r="BS757" s="64">
        <v>2012</v>
      </c>
      <c r="BT757" s="14">
        <v>20</v>
      </c>
      <c r="BU757" s="10"/>
      <c r="BV757" s="8">
        <v>2</v>
      </c>
      <c r="BW757" s="59"/>
      <c r="BX757" s="59"/>
      <c r="BY757" s="59"/>
      <c r="BZ757" s="59"/>
      <c r="CA757" s="59"/>
      <c r="CB757" s="221"/>
      <c r="CC757" s="59"/>
      <c r="CD757" s="59">
        <v>8</v>
      </c>
      <c r="CE757" s="355"/>
      <c r="CF757" s="221"/>
      <c r="CG757" s="59"/>
      <c r="CH757" s="59"/>
      <c r="CI757" s="59"/>
      <c r="CJ757" s="59">
        <v>36</v>
      </c>
      <c r="CK757" s="59"/>
      <c r="CL757" s="59"/>
      <c r="CM757" s="59">
        <v>16</v>
      </c>
      <c r="CN757" s="59">
        <v>2</v>
      </c>
      <c r="CO757" s="59">
        <v>9</v>
      </c>
      <c r="CP757" s="59"/>
      <c r="CQ757" s="59">
        <v>12</v>
      </c>
      <c r="CR757" s="221"/>
      <c r="CS757" s="59"/>
      <c r="CT757" s="59"/>
      <c r="CU757" s="221"/>
      <c r="CV757" s="59">
        <v>3</v>
      </c>
      <c r="CW757" s="59"/>
      <c r="CX757" s="59"/>
      <c r="CY757" s="59"/>
      <c r="CZ757" s="59"/>
      <c r="DA757" s="59"/>
      <c r="DB757" s="59">
        <v>28</v>
      </c>
      <c r="DC757" s="59"/>
      <c r="DD757" s="59"/>
      <c r="DE757" s="59"/>
      <c r="DF757" s="59"/>
      <c r="DG757" s="59">
        <v>1</v>
      </c>
      <c r="DH757" s="59"/>
      <c r="DI757" s="59">
        <v>3</v>
      </c>
      <c r="DJ757" s="59"/>
      <c r="DK757" s="59"/>
      <c r="DL757" s="221"/>
      <c r="DM757" s="59">
        <v>1</v>
      </c>
      <c r="DN757" s="59">
        <v>1</v>
      </c>
      <c r="DO757" s="59">
        <v>7</v>
      </c>
      <c r="DP757" s="59"/>
      <c r="DQ757" s="59"/>
      <c r="DR757" s="59"/>
      <c r="DS757" s="59">
        <v>1</v>
      </c>
      <c r="DT757" s="59"/>
      <c r="DU757" s="59"/>
      <c r="DV757" s="38">
        <f t="shared" si="380"/>
        <v>130</v>
      </c>
      <c r="DW757" s="14" t="str">
        <f t="shared" si="379"/>
        <v/>
      </c>
      <c r="DY757" s="316">
        <f t="shared" si="382"/>
        <v>130</v>
      </c>
    </row>
    <row r="758" spans="1:130" s="316" customFormat="1">
      <c r="A758" s="210">
        <v>41214</v>
      </c>
      <c r="B758" s="211"/>
      <c r="C758" s="61">
        <v>2</v>
      </c>
      <c r="D758" s="59">
        <v>11</v>
      </c>
      <c r="E758" s="59">
        <v>0</v>
      </c>
      <c r="F758" s="59">
        <v>1</v>
      </c>
      <c r="G758" s="59">
        <v>0</v>
      </c>
      <c r="H758" s="59">
        <v>0</v>
      </c>
      <c r="I758" s="59">
        <v>0</v>
      </c>
      <c r="J758" s="59">
        <v>19</v>
      </c>
      <c r="K758" s="59">
        <v>0</v>
      </c>
      <c r="L758" s="59">
        <v>0</v>
      </c>
      <c r="M758" s="59">
        <v>0</v>
      </c>
      <c r="N758" s="59">
        <v>0</v>
      </c>
      <c r="O758" s="59">
        <v>9</v>
      </c>
      <c r="P758" s="59">
        <v>1</v>
      </c>
      <c r="Q758" s="59">
        <v>0</v>
      </c>
      <c r="R758" s="59">
        <v>0</v>
      </c>
      <c r="S758" s="35">
        <f t="shared" si="381"/>
        <v>43</v>
      </c>
      <c r="T758" s="59"/>
      <c r="U758" s="59">
        <v>2</v>
      </c>
      <c r="V758" s="59">
        <v>2</v>
      </c>
      <c r="W758" s="59">
        <v>0</v>
      </c>
      <c r="X758" s="5">
        <v>1</v>
      </c>
      <c r="Y758" s="10"/>
      <c r="Z758" s="61">
        <v>586252</v>
      </c>
      <c r="AA758" s="101"/>
      <c r="AB758" s="101"/>
      <c r="AC758" s="61">
        <v>1054985</v>
      </c>
      <c r="AD758" s="59"/>
      <c r="AE758" s="35">
        <f t="shared" si="377"/>
        <v>1054985</v>
      </c>
      <c r="AF758" s="10"/>
      <c r="AG758" s="61">
        <v>47</v>
      </c>
      <c r="AH758" s="59">
        <v>111</v>
      </c>
      <c r="AI758" s="59">
        <v>180</v>
      </c>
      <c r="AJ758" s="62"/>
      <c r="AK758" s="10"/>
      <c r="AL758" s="8"/>
      <c r="AM758" s="10"/>
      <c r="AN758" s="35"/>
      <c r="AO758" s="279"/>
      <c r="AP758" s="279"/>
      <c r="AQ758" s="281"/>
      <c r="AR758" s="59">
        <v>158</v>
      </c>
      <c r="AS758" s="59">
        <v>122</v>
      </c>
      <c r="AT758" s="59">
        <v>191</v>
      </c>
      <c r="AU758" s="59">
        <v>23</v>
      </c>
      <c r="AV758" s="62">
        <v>384</v>
      </c>
      <c r="AW758" s="10"/>
      <c r="AX758" s="326">
        <v>41213</v>
      </c>
      <c r="AY758" s="5">
        <f t="shared" si="378"/>
        <v>-1</v>
      </c>
      <c r="AZ758" s="10"/>
      <c r="BA758" s="364">
        <v>1992</v>
      </c>
      <c r="BB758" s="303">
        <v>73362784</v>
      </c>
      <c r="BC758" s="10"/>
      <c r="BD758" s="10">
        <v>30825651</v>
      </c>
      <c r="BE758" s="10">
        <v>109</v>
      </c>
      <c r="BF758" s="10">
        <v>6</v>
      </c>
      <c r="BG758" s="5">
        <v>6</v>
      </c>
      <c r="BH758" s="30">
        <f>SUM(BE758:BG758)</f>
        <v>121</v>
      </c>
      <c r="BI758" s="356">
        <v>5595343</v>
      </c>
      <c r="BJ758" s="327">
        <v>41223</v>
      </c>
      <c r="BK758" s="327">
        <v>41238</v>
      </c>
      <c r="BL758" s="320">
        <f>BK758-BJ758</f>
        <v>15</v>
      </c>
      <c r="BM758" s="62"/>
      <c r="BN758" s="10"/>
      <c r="BO758" s="8"/>
      <c r="BP758" s="5">
        <v>168</v>
      </c>
      <c r="BQ758" s="10"/>
      <c r="BR758" s="29">
        <v>2013</v>
      </c>
      <c r="BS758" s="64">
        <v>2012</v>
      </c>
      <c r="BT758" s="14">
        <v>21</v>
      </c>
      <c r="BU758" s="10"/>
      <c r="BV758" s="8"/>
      <c r="BW758" s="59">
        <v>2</v>
      </c>
      <c r="BX758" s="59"/>
      <c r="BY758" s="59"/>
      <c r="BZ758" s="59"/>
      <c r="CA758" s="59"/>
      <c r="CB758" s="221"/>
      <c r="CC758" s="59"/>
      <c r="CD758" s="59">
        <v>2</v>
      </c>
      <c r="CE758" s="317"/>
      <c r="CF758" s="221"/>
      <c r="CG758" s="59"/>
      <c r="CH758" s="59"/>
      <c r="CI758" s="59">
        <v>11</v>
      </c>
      <c r="CJ758" s="59">
        <v>3</v>
      </c>
      <c r="CK758" s="59"/>
      <c r="CL758" s="59"/>
      <c r="CM758" s="59"/>
      <c r="CN758" s="59"/>
      <c r="CO758" s="59">
        <v>5</v>
      </c>
      <c r="CP758" s="59"/>
      <c r="CQ758" s="59"/>
      <c r="CR758" s="221"/>
      <c r="CS758" s="59"/>
      <c r="CT758" s="59">
        <v>3</v>
      </c>
      <c r="CU758" s="221"/>
      <c r="CV758" s="59">
        <v>1</v>
      </c>
      <c r="CW758" s="59"/>
      <c r="CX758" s="59"/>
      <c r="CY758" s="59">
        <v>1</v>
      </c>
      <c r="CZ758" s="59"/>
      <c r="DA758" s="59"/>
      <c r="DB758" s="59">
        <v>5</v>
      </c>
      <c r="DC758" s="59"/>
      <c r="DD758" s="59">
        <v>1</v>
      </c>
      <c r="DE758" s="59"/>
      <c r="DF758" s="59"/>
      <c r="DG758" s="59">
        <v>1</v>
      </c>
      <c r="DH758" s="59"/>
      <c r="DI758" s="59">
        <v>4</v>
      </c>
      <c r="DJ758" s="59"/>
      <c r="DK758" s="59"/>
      <c r="DL758" s="221"/>
      <c r="DM758" s="59">
        <v>3</v>
      </c>
      <c r="DN758" s="59"/>
      <c r="DO758" s="59">
        <v>1</v>
      </c>
      <c r="DP758" s="59"/>
      <c r="DQ758" s="59"/>
      <c r="DR758" s="59"/>
      <c r="DS758" s="59"/>
      <c r="DT758" s="59"/>
      <c r="DU758" s="59"/>
      <c r="DV758" s="38">
        <f t="shared" si="380"/>
        <v>43</v>
      </c>
      <c r="DW758" s="14" t="str">
        <f t="shared" si="379"/>
        <v/>
      </c>
      <c r="DY758" s="316">
        <f t="shared" si="382"/>
        <v>43</v>
      </c>
    </row>
    <row r="759" spans="1:130" s="316" customFormat="1">
      <c r="A759" s="210">
        <v>41228</v>
      </c>
      <c r="B759" s="211"/>
      <c r="C759" s="61">
        <v>6</v>
      </c>
      <c r="D759" s="59">
        <v>16</v>
      </c>
      <c r="E759" s="59">
        <v>6</v>
      </c>
      <c r="F759" s="59">
        <v>5</v>
      </c>
      <c r="G759" s="59">
        <v>0</v>
      </c>
      <c r="H759" s="59">
        <v>0</v>
      </c>
      <c r="I759" s="59">
        <v>0</v>
      </c>
      <c r="J759" s="59">
        <v>25</v>
      </c>
      <c r="K759" s="59">
        <v>14</v>
      </c>
      <c r="L759" s="59">
        <v>0</v>
      </c>
      <c r="M759" s="59">
        <v>0</v>
      </c>
      <c r="N759" s="59">
        <v>0</v>
      </c>
      <c r="O759" s="59">
        <v>0</v>
      </c>
      <c r="P759" s="59">
        <v>6</v>
      </c>
      <c r="Q759" s="59">
        <v>0</v>
      </c>
      <c r="R759" s="59">
        <v>0</v>
      </c>
      <c r="S759" s="35">
        <f t="shared" si="381"/>
        <v>78</v>
      </c>
      <c r="T759" s="59"/>
      <c r="U759" s="59">
        <v>8</v>
      </c>
      <c r="V759" s="59">
        <v>8</v>
      </c>
      <c r="W759" s="59">
        <v>0</v>
      </c>
      <c r="X759" s="5">
        <v>0</v>
      </c>
      <c r="Y759" s="10"/>
      <c r="Z759" s="61">
        <v>400399</v>
      </c>
      <c r="AA759" s="101"/>
      <c r="AB759" s="101"/>
      <c r="AC759" s="61">
        <v>1950771</v>
      </c>
      <c r="AD759" s="59"/>
      <c r="AE759" s="35">
        <f t="shared" si="377"/>
        <v>1950771</v>
      </c>
      <c r="AF759" s="10"/>
      <c r="AG759" s="61">
        <v>158</v>
      </c>
      <c r="AH759" s="59">
        <v>34</v>
      </c>
      <c r="AI759" s="59">
        <v>212</v>
      </c>
      <c r="AJ759" s="62"/>
      <c r="AK759" s="10"/>
      <c r="AL759" s="8"/>
      <c r="AM759" s="10"/>
      <c r="AN759" s="35"/>
      <c r="AO759" s="279"/>
      <c r="AP759" s="279"/>
      <c r="AQ759" s="281"/>
      <c r="AR759" s="59">
        <v>157</v>
      </c>
      <c r="AS759" s="59"/>
      <c r="AT759" s="59"/>
      <c r="AU759" s="59"/>
      <c r="AV759" s="62"/>
      <c r="AW759" s="10"/>
      <c r="AX759" s="326">
        <v>41227</v>
      </c>
      <c r="AY759" s="5">
        <f t="shared" si="378"/>
        <v>-1</v>
      </c>
      <c r="AZ759" s="10"/>
      <c r="BA759" s="364"/>
      <c r="BB759" s="303"/>
      <c r="BC759" s="10"/>
      <c r="BD759" s="10"/>
      <c r="BE759" s="10"/>
      <c r="BF759" s="10"/>
      <c r="BG759" s="5"/>
      <c r="BH759" s="30"/>
      <c r="BI759" s="356"/>
      <c r="BJ759" s="344"/>
      <c r="BK759" s="344"/>
      <c r="BL759" s="321"/>
      <c r="BM759" s="62"/>
      <c r="BN759" s="10"/>
      <c r="BO759" s="8"/>
      <c r="BP759" s="62"/>
      <c r="BQ759" s="10"/>
      <c r="BR759" s="29">
        <v>2013</v>
      </c>
      <c r="BS759" s="64">
        <v>2012</v>
      </c>
      <c r="BT759" s="14">
        <v>22</v>
      </c>
      <c r="BU759" s="10"/>
      <c r="BV759" s="8">
        <v>8</v>
      </c>
      <c r="BW759" s="59">
        <v>1</v>
      </c>
      <c r="BX759" s="59"/>
      <c r="BY759" s="59"/>
      <c r="BZ759" s="59"/>
      <c r="CA759" s="59"/>
      <c r="CB759" s="221"/>
      <c r="CC759" s="59"/>
      <c r="CD759" s="59">
        <v>1</v>
      </c>
      <c r="CE759" s="317"/>
      <c r="CF759" s="221"/>
      <c r="CG759" s="59"/>
      <c r="CH759" s="59"/>
      <c r="CI759" s="59"/>
      <c r="CJ759" s="59"/>
      <c r="CK759" s="59"/>
      <c r="CL759" s="59"/>
      <c r="CM759" s="59">
        <v>1</v>
      </c>
      <c r="CN759" s="59">
        <v>1</v>
      </c>
      <c r="CO759" s="59">
        <v>31</v>
      </c>
      <c r="CP759" s="59"/>
      <c r="CQ759" s="59"/>
      <c r="CR759" s="221"/>
      <c r="CS759" s="59"/>
      <c r="CT759" s="59">
        <v>12</v>
      </c>
      <c r="CU759" s="221"/>
      <c r="CV759" s="59">
        <v>1</v>
      </c>
      <c r="CW759" s="59"/>
      <c r="CX759" s="59"/>
      <c r="CY759" s="59">
        <v>10</v>
      </c>
      <c r="CZ759" s="59"/>
      <c r="DA759" s="59"/>
      <c r="DB759" s="59">
        <v>6</v>
      </c>
      <c r="DC759" s="59"/>
      <c r="DD759" s="59"/>
      <c r="DE759" s="59"/>
      <c r="DF759" s="59"/>
      <c r="DG759" s="59">
        <v>1</v>
      </c>
      <c r="DH759" s="59"/>
      <c r="DI759" s="59"/>
      <c r="DJ759" s="59">
        <v>1</v>
      </c>
      <c r="DK759" s="59"/>
      <c r="DL759" s="221"/>
      <c r="DM759" s="59">
        <v>1</v>
      </c>
      <c r="DN759" s="59"/>
      <c r="DO759" s="59"/>
      <c r="DP759" s="59"/>
      <c r="DQ759" s="59"/>
      <c r="DR759" s="59"/>
      <c r="DS759" s="59">
        <v>3</v>
      </c>
      <c r="DT759" s="59"/>
      <c r="DU759" s="59"/>
      <c r="DV759" s="38">
        <f t="shared" si="380"/>
        <v>78</v>
      </c>
      <c r="DW759" s="14" t="str">
        <f t="shared" si="379"/>
        <v/>
      </c>
      <c r="DY759" s="316">
        <f t="shared" si="382"/>
        <v>78</v>
      </c>
    </row>
    <row r="760" spans="1:130" s="316" customFormat="1">
      <c r="A760" s="210">
        <v>41244</v>
      </c>
      <c r="B760" s="211"/>
      <c r="C760" s="61">
        <v>2</v>
      </c>
      <c r="D760" s="59">
        <v>13</v>
      </c>
      <c r="E760" s="59">
        <v>0</v>
      </c>
      <c r="F760" s="59">
        <v>0</v>
      </c>
      <c r="G760" s="59">
        <v>7</v>
      </c>
      <c r="H760" s="59">
        <v>0</v>
      </c>
      <c r="I760" s="59">
        <v>0</v>
      </c>
      <c r="J760" s="59">
        <v>23</v>
      </c>
      <c r="K760" s="59">
        <v>1</v>
      </c>
      <c r="L760" s="59">
        <v>1</v>
      </c>
      <c r="M760" s="59">
        <v>0</v>
      </c>
      <c r="N760" s="59">
        <v>0</v>
      </c>
      <c r="O760" s="59">
        <v>2</v>
      </c>
      <c r="P760" s="59">
        <v>0</v>
      </c>
      <c r="Q760" s="59">
        <v>0</v>
      </c>
      <c r="R760" s="59">
        <v>0</v>
      </c>
      <c r="S760" s="35">
        <f t="shared" si="381"/>
        <v>49</v>
      </c>
      <c r="T760" s="59"/>
      <c r="U760" s="59">
        <v>7</v>
      </c>
      <c r="V760" s="59">
        <v>7</v>
      </c>
      <c r="W760" s="59">
        <v>0</v>
      </c>
      <c r="X760" s="5">
        <v>0</v>
      </c>
      <c r="Y760" s="10"/>
      <c r="Z760" s="61">
        <v>692653</v>
      </c>
      <c r="AA760" s="101"/>
      <c r="AB760" s="101"/>
      <c r="AC760" s="61">
        <v>1210114</v>
      </c>
      <c r="AD760" s="59"/>
      <c r="AE760" s="35">
        <f t="shared" si="377"/>
        <v>1210114</v>
      </c>
      <c r="AF760" s="10"/>
      <c r="AG760" s="61">
        <v>89</v>
      </c>
      <c r="AH760" s="59">
        <v>123</v>
      </c>
      <c r="AI760" s="59">
        <v>230</v>
      </c>
      <c r="AJ760" s="62"/>
      <c r="AK760" s="10"/>
      <c r="AL760" s="8"/>
      <c r="AM760" s="10"/>
      <c r="AN760" s="35"/>
      <c r="AO760" s="279"/>
      <c r="AP760" s="279"/>
      <c r="AQ760" s="281"/>
      <c r="AR760" s="59">
        <v>156</v>
      </c>
      <c r="AS760" s="59"/>
      <c r="AT760" s="59"/>
      <c r="AU760" s="59"/>
      <c r="AV760" s="62"/>
      <c r="AW760" s="10"/>
      <c r="AX760" s="326">
        <v>41243</v>
      </c>
      <c r="AY760" s="5">
        <f t="shared" si="378"/>
        <v>-1</v>
      </c>
      <c r="AZ760" s="10"/>
      <c r="BA760" s="364">
        <v>1990</v>
      </c>
      <c r="BB760" s="303">
        <v>73504049</v>
      </c>
      <c r="BC760" s="10"/>
      <c r="BD760" s="10">
        <v>30933518</v>
      </c>
      <c r="BE760" s="10">
        <v>70</v>
      </c>
      <c r="BF760" s="10">
        <v>3</v>
      </c>
      <c r="BG760" s="5">
        <v>5</v>
      </c>
      <c r="BH760" s="30">
        <f>SUM(BE760:BG760)</f>
        <v>78</v>
      </c>
      <c r="BI760" s="356">
        <v>2688036</v>
      </c>
      <c r="BJ760" s="327">
        <v>41253</v>
      </c>
      <c r="BK760" s="327">
        <v>41262</v>
      </c>
      <c r="BL760" s="320">
        <f>BK760-BJ760</f>
        <v>9</v>
      </c>
      <c r="BM760" s="62"/>
      <c r="BN760" s="10"/>
      <c r="BO760" s="8"/>
      <c r="BP760" s="5">
        <v>167</v>
      </c>
      <c r="BQ760" s="10"/>
      <c r="BR760" s="29">
        <v>2013</v>
      </c>
      <c r="BS760" s="64">
        <v>2012</v>
      </c>
      <c r="BT760" s="14">
        <v>23</v>
      </c>
      <c r="BU760" s="10"/>
      <c r="BV760" s="8">
        <v>8</v>
      </c>
      <c r="BW760" s="59">
        <v>1</v>
      </c>
      <c r="BX760" s="59"/>
      <c r="BY760" s="59"/>
      <c r="BZ760" s="59"/>
      <c r="CA760" s="59">
        <v>1</v>
      </c>
      <c r="CB760" s="221"/>
      <c r="CC760" s="59"/>
      <c r="CD760" s="59">
        <v>4</v>
      </c>
      <c r="CE760" s="317"/>
      <c r="CF760" s="221"/>
      <c r="CG760" s="59"/>
      <c r="CH760" s="59">
        <v>2</v>
      </c>
      <c r="CI760" s="59">
        <v>3</v>
      </c>
      <c r="CJ760" s="59">
        <v>10</v>
      </c>
      <c r="CK760" s="59"/>
      <c r="CL760" s="59"/>
      <c r="CM760" s="59"/>
      <c r="CN760" s="59"/>
      <c r="CO760" s="59">
        <v>9</v>
      </c>
      <c r="CP760" s="59"/>
      <c r="CQ760" s="59"/>
      <c r="CR760" s="221"/>
      <c r="CS760" s="59"/>
      <c r="CT760" s="59">
        <v>4</v>
      </c>
      <c r="CU760" s="221"/>
      <c r="CV760" s="59">
        <v>2</v>
      </c>
      <c r="CW760" s="59"/>
      <c r="CX760" s="59"/>
      <c r="CY760" s="59"/>
      <c r="CZ760" s="59"/>
      <c r="DA760" s="59">
        <v>1</v>
      </c>
      <c r="DB760" s="59"/>
      <c r="DC760" s="59"/>
      <c r="DD760" s="59"/>
      <c r="DE760" s="59"/>
      <c r="DF760" s="59"/>
      <c r="DG760" s="59"/>
      <c r="DH760" s="59">
        <v>1</v>
      </c>
      <c r="DI760" s="59"/>
      <c r="DJ760" s="59"/>
      <c r="DK760" s="59"/>
      <c r="DL760" s="221"/>
      <c r="DM760" s="59"/>
      <c r="DN760" s="59"/>
      <c r="DO760" s="59"/>
      <c r="DP760" s="59"/>
      <c r="DQ760" s="59"/>
      <c r="DR760" s="59"/>
      <c r="DS760" s="59">
        <v>3</v>
      </c>
      <c r="DT760" s="59"/>
      <c r="DU760" s="59"/>
      <c r="DV760" s="38">
        <f t="shared" si="380"/>
        <v>49</v>
      </c>
      <c r="DW760" s="14" t="str">
        <f t="shared" si="379"/>
        <v/>
      </c>
      <c r="DY760" s="316">
        <f t="shared" si="382"/>
        <v>49</v>
      </c>
    </row>
    <row r="761" spans="1:130" s="316" customFormat="1">
      <c r="A761" s="210">
        <v>41258</v>
      </c>
      <c r="B761" s="211"/>
      <c r="C761" s="61">
        <v>1</v>
      </c>
      <c r="D761" s="59">
        <v>8</v>
      </c>
      <c r="E761" s="59">
        <v>0</v>
      </c>
      <c r="F761" s="59">
        <v>0</v>
      </c>
      <c r="G761" s="59">
        <v>1</v>
      </c>
      <c r="H761" s="59">
        <v>0</v>
      </c>
      <c r="I761" s="59">
        <v>0</v>
      </c>
      <c r="J761" s="59">
        <v>7</v>
      </c>
      <c r="K761" s="59">
        <v>0</v>
      </c>
      <c r="L761" s="59">
        <v>0</v>
      </c>
      <c r="M761" s="59">
        <v>0</v>
      </c>
      <c r="N761" s="59">
        <v>0</v>
      </c>
      <c r="O761" s="59">
        <v>1</v>
      </c>
      <c r="P761" s="59">
        <v>0</v>
      </c>
      <c r="Q761" s="59">
        <v>0</v>
      </c>
      <c r="R761" s="59">
        <v>0</v>
      </c>
      <c r="S761" s="35">
        <f t="shared" si="381"/>
        <v>18</v>
      </c>
      <c r="T761" s="59"/>
      <c r="U761" s="59">
        <v>0</v>
      </c>
      <c r="V761" s="59">
        <v>0</v>
      </c>
      <c r="W761" s="59">
        <v>0</v>
      </c>
      <c r="X761" s="5">
        <v>0</v>
      </c>
      <c r="Y761" s="59"/>
      <c r="Z761" s="61">
        <v>617004</v>
      </c>
      <c r="AA761" s="101"/>
      <c r="AB761" s="101"/>
      <c r="AC761" s="61">
        <v>517394</v>
      </c>
      <c r="AD761" s="59"/>
      <c r="AE761" s="35">
        <f t="shared" si="377"/>
        <v>517394</v>
      </c>
      <c r="AF761" s="10"/>
      <c r="AG761" s="61">
        <v>34</v>
      </c>
      <c r="AH761" s="59">
        <v>125</v>
      </c>
      <c r="AI761" s="59">
        <v>174</v>
      </c>
      <c r="AJ761" s="62"/>
      <c r="AK761" s="10"/>
      <c r="AL761" s="8"/>
      <c r="AM761" s="10"/>
      <c r="AN761" s="35"/>
      <c r="AO761" s="279"/>
      <c r="AP761" s="279"/>
      <c r="AQ761" s="281"/>
      <c r="AR761" s="59">
        <v>156</v>
      </c>
      <c r="AS761" s="59"/>
      <c r="AT761" s="59"/>
      <c r="AU761" s="59"/>
      <c r="AV761" s="62"/>
      <c r="AW761" s="10"/>
      <c r="AX761" s="326">
        <v>41257</v>
      </c>
      <c r="AY761" s="5">
        <f t="shared" si="378"/>
        <v>-1</v>
      </c>
      <c r="AZ761" s="10"/>
      <c r="BA761" s="364"/>
      <c r="BB761" s="303"/>
      <c r="BC761" s="10"/>
      <c r="BD761" s="10"/>
      <c r="BE761" s="10"/>
      <c r="BF761" s="10"/>
      <c r="BG761" s="5"/>
      <c r="BH761" s="30"/>
      <c r="BI761" s="356"/>
      <c r="BJ761" s="327"/>
      <c r="BK761" s="327"/>
      <c r="BL761" s="320"/>
      <c r="BM761" s="62"/>
      <c r="BN761" s="10"/>
      <c r="BO761" s="8"/>
      <c r="BP761" s="5"/>
      <c r="BQ761" s="10"/>
      <c r="BR761" s="29">
        <v>2013</v>
      </c>
      <c r="BS761" s="64">
        <v>2012</v>
      </c>
      <c r="BT761" s="14">
        <v>24</v>
      </c>
      <c r="BU761" s="10"/>
      <c r="BV761" s="8"/>
      <c r="BW761" s="59"/>
      <c r="BX761" s="59"/>
      <c r="BY761" s="59"/>
      <c r="BZ761" s="59"/>
      <c r="CA761" s="59"/>
      <c r="CB761" s="221"/>
      <c r="CC761" s="59"/>
      <c r="CD761" s="59">
        <v>5</v>
      </c>
      <c r="CE761" s="317"/>
      <c r="CF761" s="221"/>
      <c r="CG761" s="59"/>
      <c r="CH761" s="59"/>
      <c r="CI761" s="59"/>
      <c r="CJ761" s="59"/>
      <c r="CK761" s="59"/>
      <c r="CL761" s="59"/>
      <c r="CM761" s="59"/>
      <c r="CN761" s="59"/>
      <c r="CO761" s="59">
        <v>6</v>
      </c>
      <c r="CP761" s="59"/>
      <c r="CQ761" s="59"/>
      <c r="CR761" s="221"/>
      <c r="CS761" s="59"/>
      <c r="CT761" s="59"/>
      <c r="CU761" s="221"/>
      <c r="CV761" s="59">
        <v>1</v>
      </c>
      <c r="CW761" s="59"/>
      <c r="CX761" s="59"/>
      <c r="CY761" s="59"/>
      <c r="CZ761" s="59"/>
      <c r="DA761" s="59"/>
      <c r="DB761" s="59">
        <v>1</v>
      </c>
      <c r="DC761" s="59"/>
      <c r="DD761" s="59"/>
      <c r="DE761" s="59"/>
      <c r="DF761" s="59"/>
      <c r="DG761" s="59"/>
      <c r="DH761" s="59">
        <v>5</v>
      </c>
      <c r="DI761" s="59"/>
      <c r="DJ761" s="59"/>
      <c r="DK761" s="59"/>
      <c r="DL761" s="221"/>
      <c r="DM761" s="59"/>
      <c r="DN761" s="59"/>
      <c r="DO761" s="59"/>
      <c r="DP761" s="59"/>
      <c r="DQ761" s="59"/>
      <c r="DR761" s="59"/>
      <c r="DS761" s="59"/>
      <c r="DT761" s="59"/>
      <c r="DU761" s="59"/>
      <c r="DV761" s="38">
        <f t="shared" si="380"/>
        <v>18</v>
      </c>
      <c r="DW761" s="14" t="str">
        <f t="shared" si="379"/>
        <v/>
      </c>
      <c r="DY761" s="316">
        <f t="shared" si="382"/>
        <v>18</v>
      </c>
      <c r="DZ761" s="316" t="str">
        <f t="shared" ref="DZ761:DZ773" si="383">IF(DV761-DY761=0,"",DV761-DY761)</f>
        <v/>
      </c>
    </row>
    <row r="762" spans="1:130" s="316" customFormat="1">
      <c r="A762" s="210">
        <v>41275</v>
      </c>
      <c r="B762" s="211"/>
      <c r="C762" s="8">
        <v>1</v>
      </c>
      <c r="D762" s="59">
        <v>10</v>
      </c>
      <c r="E762" s="59">
        <v>0</v>
      </c>
      <c r="F762" s="59">
        <v>1</v>
      </c>
      <c r="G762" s="59">
        <v>19</v>
      </c>
      <c r="H762" s="59">
        <v>0</v>
      </c>
      <c r="I762" s="59">
        <v>0</v>
      </c>
      <c r="J762" s="59">
        <v>13</v>
      </c>
      <c r="K762" s="59">
        <v>0</v>
      </c>
      <c r="L762" s="59">
        <v>0</v>
      </c>
      <c r="M762" s="59">
        <v>0</v>
      </c>
      <c r="N762" s="59">
        <v>0</v>
      </c>
      <c r="O762" s="59">
        <v>0</v>
      </c>
      <c r="P762" s="59">
        <v>1</v>
      </c>
      <c r="Q762" s="59">
        <v>0</v>
      </c>
      <c r="R762" s="59">
        <v>0</v>
      </c>
      <c r="S762" s="35">
        <f t="shared" si="381"/>
        <v>45</v>
      </c>
      <c r="U762" s="59">
        <v>6</v>
      </c>
      <c r="V762" s="59">
        <v>4</v>
      </c>
      <c r="W762" s="59">
        <v>0</v>
      </c>
      <c r="X762" s="62">
        <v>0</v>
      </c>
      <c r="Y762" s="30"/>
      <c r="Z762" s="61">
        <v>337023</v>
      </c>
      <c r="AC762" s="8">
        <v>1264507</v>
      </c>
      <c r="AE762" s="35">
        <f t="shared" si="377"/>
        <v>1264507</v>
      </c>
      <c r="AG762" s="8">
        <v>92</v>
      </c>
      <c r="AH762" s="59">
        <v>37</v>
      </c>
      <c r="AI762" s="59">
        <v>140</v>
      </c>
      <c r="AJ762" s="62"/>
      <c r="AK762" s="10"/>
      <c r="AL762" s="61">
        <v>0</v>
      </c>
      <c r="AM762" s="59">
        <v>33</v>
      </c>
      <c r="AN762" s="35">
        <f>SUM(AL762:AM762)</f>
        <v>33</v>
      </c>
      <c r="AO762" s="279"/>
      <c r="AP762" s="279"/>
      <c r="AQ762" s="281"/>
      <c r="AR762" s="59">
        <v>156</v>
      </c>
      <c r="AS762" s="59">
        <v>124</v>
      </c>
      <c r="AT762" s="59">
        <v>191</v>
      </c>
      <c r="AU762" s="59">
        <v>23</v>
      </c>
      <c r="AV762" s="62">
        <v>386</v>
      </c>
      <c r="AW762" s="10"/>
      <c r="AX762" s="326">
        <v>41271</v>
      </c>
      <c r="AY762" s="5">
        <f t="shared" si="378"/>
        <v>-4</v>
      </c>
      <c r="AZ762" s="10"/>
      <c r="BA762" s="364">
        <v>1997</v>
      </c>
      <c r="BB762" s="303">
        <v>74040785</v>
      </c>
      <c r="BC762" s="10"/>
      <c r="BD762" s="10">
        <v>30947119</v>
      </c>
      <c r="BE762" s="10">
        <v>85</v>
      </c>
      <c r="BF762" s="10">
        <v>7</v>
      </c>
      <c r="BG762" s="5">
        <v>0</v>
      </c>
      <c r="BH762" s="30">
        <f>SUM(BE762:BG762)</f>
        <v>92</v>
      </c>
      <c r="BI762" s="356">
        <v>4757169</v>
      </c>
      <c r="BJ762" s="327">
        <v>41284</v>
      </c>
      <c r="BK762" s="327">
        <v>41302</v>
      </c>
      <c r="BL762" s="320">
        <f>BK762-BJ762</f>
        <v>18</v>
      </c>
      <c r="BM762" s="62"/>
      <c r="BN762" s="10"/>
      <c r="BO762" s="8"/>
      <c r="BP762" s="5">
        <v>167</v>
      </c>
      <c r="BQ762" s="10"/>
      <c r="BR762" s="29">
        <v>2013</v>
      </c>
      <c r="BS762" s="64">
        <v>2013</v>
      </c>
      <c r="BT762" s="14">
        <v>1</v>
      </c>
      <c r="BU762" s="10"/>
      <c r="BV762" s="8">
        <v>1</v>
      </c>
      <c r="BW762" s="59"/>
      <c r="BX762" s="59"/>
      <c r="BY762" s="59"/>
      <c r="BZ762" s="59"/>
      <c r="CA762" s="59"/>
      <c r="CB762" s="221"/>
      <c r="CC762" s="59"/>
      <c r="CD762" s="59"/>
      <c r="CE762" s="317"/>
      <c r="CF762" s="221"/>
      <c r="CG762" s="59"/>
      <c r="CH762" s="59"/>
      <c r="CI762" s="59"/>
      <c r="CJ762" s="59">
        <v>20</v>
      </c>
      <c r="CK762" s="59"/>
      <c r="CL762" s="59"/>
      <c r="CM762" s="59">
        <v>1</v>
      </c>
      <c r="CN762" s="59"/>
      <c r="CO762" s="59">
        <v>2</v>
      </c>
      <c r="CP762" s="59"/>
      <c r="CQ762" s="59"/>
      <c r="CR762" s="221"/>
      <c r="CS762" s="59"/>
      <c r="CT762" s="59">
        <v>3</v>
      </c>
      <c r="CU762" s="221"/>
      <c r="CV762" s="59">
        <v>3</v>
      </c>
      <c r="CW762" s="59"/>
      <c r="CX762" s="59"/>
      <c r="CY762" s="59"/>
      <c r="CZ762" s="59"/>
      <c r="DA762" s="59"/>
      <c r="DB762" s="59">
        <v>3</v>
      </c>
      <c r="DC762" s="59"/>
      <c r="DD762" s="59"/>
      <c r="DE762" s="59"/>
      <c r="DF762" s="59"/>
      <c r="DG762" s="59"/>
      <c r="DH762" s="59">
        <v>2</v>
      </c>
      <c r="DI762" s="59">
        <v>3</v>
      </c>
      <c r="DJ762" s="59">
        <v>1</v>
      </c>
      <c r="DK762" s="59"/>
      <c r="DL762" s="221"/>
      <c r="DM762" s="59">
        <v>5</v>
      </c>
      <c r="DN762" s="59"/>
      <c r="DO762" s="59">
        <v>1</v>
      </c>
      <c r="DP762" s="59"/>
      <c r="DQ762" s="59"/>
      <c r="DR762" s="59"/>
      <c r="DS762" s="59"/>
      <c r="DT762" s="59"/>
      <c r="DU762" s="59"/>
      <c r="DV762" s="38">
        <f t="shared" si="380"/>
        <v>45</v>
      </c>
      <c r="DW762" s="14" t="str">
        <f t="shared" si="379"/>
        <v/>
      </c>
      <c r="DY762" s="316">
        <f t="shared" si="382"/>
        <v>45</v>
      </c>
      <c r="DZ762" s="316" t="str">
        <f t="shared" si="383"/>
        <v/>
      </c>
    </row>
    <row r="763" spans="1:130" s="316" customFormat="1">
      <c r="A763" s="210">
        <v>41289</v>
      </c>
      <c r="B763" s="211"/>
      <c r="C763" s="8">
        <v>7</v>
      </c>
      <c r="D763" s="59">
        <v>8</v>
      </c>
      <c r="E763" s="59">
        <v>14</v>
      </c>
      <c r="F763" s="59">
        <v>0</v>
      </c>
      <c r="G763" s="59">
        <v>1</v>
      </c>
      <c r="H763" s="59">
        <v>4</v>
      </c>
      <c r="I763" s="59">
        <v>0</v>
      </c>
      <c r="J763" s="59">
        <v>3</v>
      </c>
      <c r="K763" s="59">
        <v>16</v>
      </c>
      <c r="L763" s="59">
        <v>0</v>
      </c>
      <c r="M763" s="59">
        <v>0</v>
      </c>
      <c r="N763" s="59">
        <v>0</v>
      </c>
      <c r="O763" s="59">
        <v>0</v>
      </c>
      <c r="P763" s="59">
        <v>0</v>
      </c>
      <c r="Q763" s="59">
        <v>0</v>
      </c>
      <c r="R763" s="59">
        <v>0</v>
      </c>
      <c r="S763" s="35">
        <f t="shared" si="381"/>
        <v>53</v>
      </c>
      <c r="U763" s="59">
        <v>2</v>
      </c>
      <c r="V763" s="59">
        <v>2</v>
      </c>
      <c r="W763" s="59">
        <v>0</v>
      </c>
      <c r="X763" s="62">
        <v>0</v>
      </c>
      <c r="Y763" s="30"/>
      <c r="Z763" s="61">
        <v>367164</v>
      </c>
      <c r="AC763" s="8">
        <v>1690961</v>
      </c>
      <c r="AE763" s="35">
        <f t="shared" si="377"/>
        <v>1690961</v>
      </c>
      <c r="AG763" s="8">
        <v>106</v>
      </c>
      <c r="AH763" s="59">
        <v>38</v>
      </c>
      <c r="AI763" s="59">
        <v>158</v>
      </c>
      <c r="AJ763" s="62"/>
      <c r="AK763" s="10"/>
      <c r="AL763" s="8"/>
      <c r="AM763" s="10"/>
      <c r="AN763" s="35"/>
      <c r="AO763" s="279"/>
      <c r="AP763" s="279"/>
      <c r="AQ763" s="281"/>
      <c r="AR763" s="59">
        <v>156</v>
      </c>
      <c r="AS763" s="59">
        <v>126</v>
      </c>
      <c r="AT763" s="59">
        <v>191</v>
      </c>
      <c r="AU763" s="59">
        <v>23</v>
      </c>
      <c r="AV763" s="62">
        <v>389</v>
      </c>
      <c r="AW763" s="10"/>
      <c r="AX763" s="326">
        <v>41285</v>
      </c>
      <c r="AY763" s="5">
        <f t="shared" si="378"/>
        <v>-4</v>
      </c>
      <c r="AZ763" s="10"/>
      <c r="BA763" s="365"/>
      <c r="BB763" s="307"/>
      <c r="BC763" s="59"/>
      <c r="BD763" s="59"/>
      <c r="BE763" s="59"/>
      <c r="BF763" s="59"/>
      <c r="BG763" s="62"/>
      <c r="BH763" s="351"/>
      <c r="BI763" s="59"/>
      <c r="BJ763" s="342"/>
      <c r="BK763" s="342"/>
      <c r="BL763" s="320"/>
      <c r="BM763" s="62"/>
      <c r="BN763" s="10"/>
      <c r="BO763" s="8"/>
      <c r="BP763" s="62"/>
      <c r="BQ763" s="10"/>
      <c r="BR763" s="29">
        <v>2013</v>
      </c>
      <c r="BS763" s="64">
        <v>2013</v>
      </c>
      <c r="BT763" s="14">
        <v>2</v>
      </c>
      <c r="BU763" s="10"/>
      <c r="BV763" s="8"/>
      <c r="BW763" s="59"/>
      <c r="BX763" s="59">
        <v>2</v>
      </c>
      <c r="BY763" s="59"/>
      <c r="BZ763" s="59"/>
      <c r="CA763" s="59"/>
      <c r="CB763" s="221"/>
      <c r="CC763" s="59"/>
      <c r="CD763" s="59"/>
      <c r="CE763" s="317"/>
      <c r="CF763" s="221"/>
      <c r="CG763" s="59"/>
      <c r="CH763" s="59"/>
      <c r="CI763" s="59">
        <v>21</v>
      </c>
      <c r="CJ763" s="59">
        <v>1</v>
      </c>
      <c r="CK763" s="59"/>
      <c r="CL763" s="59"/>
      <c r="CM763" s="59"/>
      <c r="CN763" s="59"/>
      <c r="CO763" s="59">
        <v>3</v>
      </c>
      <c r="CP763" s="59"/>
      <c r="CQ763" s="59"/>
      <c r="CR763" s="221"/>
      <c r="CS763" s="59"/>
      <c r="CT763" s="59">
        <v>2</v>
      </c>
      <c r="CU763" s="221"/>
      <c r="CV763" s="59">
        <v>1</v>
      </c>
      <c r="CW763" s="59"/>
      <c r="CX763" s="59"/>
      <c r="CY763" s="59">
        <v>18</v>
      </c>
      <c r="CZ763" s="59"/>
      <c r="DA763" s="59"/>
      <c r="DB763" s="59">
        <v>2</v>
      </c>
      <c r="DC763" s="59"/>
      <c r="DD763" s="59"/>
      <c r="DE763" s="59"/>
      <c r="DF763" s="59"/>
      <c r="DG763" s="59">
        <v>1</v>
      </c>
      <c r="DH763" s="59">
        <v>2</v>
      </c>
      <c r="DI763" s="59"/>
      <c r="DJ763" s="59"/>
      <c r="DK763" s="59"/>
      <c r="DL763" s="221"/>
      <c r="DM763" s="59"/>
      <c r="DN763" s="59"/>
      <c r="DO763" s="59"/>
      <c r="DP763" s="59"/>
      <c r="DQ763" s="59"/>
      <c r="DR763" s="59"/>
      <c r="DS763" s="59"/>
      <c r="DT763" s="59"/>
      <c r="DU763" s="59"/>
      <c r="DV763" s="38">
        <f t="shared" si="380"/>
        <v>53</v>
      </c>
      <c r="DW763" s="14" t="str">
        <f t="shared" si="379"/>
        <v/>
      </c>
      <c r="DY763" s="316">
        <f t="shared" si="382"/>
        <v>53</v>
      </c>
      <c r="DZ763" s="316" t="str">
        <f t="shared" si="383"/>
        <v/>
      </c>
    </row>
    <row r="764" spans="1:130" s="316" customFormat="1">
      <c r="A764" s="210">
        <v>41306</v>
      </c>
      <c r="B764" s="211"/>
      <c r="C764" s="61">
        <v>1</v>
      </c>
      <c r="D764" s="59">
        <v>12</v>
      </c>
      <c r="E764" s="59">
        <v>1</v>
      </c>
      <c r="F764" s="59">
        <v>0</v>
      </c>
      <c r="G764" s="59">
        <v>0</v>
      </c>
      <c r="H764" s="59">
        <v>2</v>
      </c>
      <c r="I764" s="59">
        <v>0</v>
      </c>
      <c r="J764" s="59">
        <v>9</v>
      </c>
      <c r="K764" s="59">
        <v>0</v>
      </c>
      <c r="L764" s="59">
        <v>0</v>
      </c>
      <c r="M764" s="59">
        <v>0</v>
      </c>
      <c r="N764" s="59">
        <v>0</v>
      </c>
      <c r="O764" s="59">
        <v>15</v>
      </c>
      <c r="P764" s="59">
        <v>2</v>
      </c>
      <c r="Q764" s="59">
        <v>0</v>
      </c>
      <c r="R764" s="59">
        <v>0</v>
      </c>
      <c r="S764" s="35">
        <f t="shared" si="381"/>
        <v>42</v>
      </c>
      <c r="T764" s="59"/>
      <c r="U764" s="59">
        <v>7</v>
      </c>
      <c r="V764" s="59">
        <v>4</v>
      </c>
      <c r="W764" s="59">
        <v>0</v>
      </c>
      <c r="X764" s="62">
        <v>0</v>
      </c>
      <c r="Y764" s="10"/>
      <c r="Z764" s="61">
        <v>229610</v>
      </c>
      <c r="AA764" s="101"/>
      <c r="AB764" s="101"/>
      <c r="AC764" s="61">
        <v>2228653</v>
      </c>
      <c r="AD764" s="59"/>
      <c r="AE764" s="35">
        <f t="shared" si="377"/>
        <v>2228653</v>
      </c>
      <c r="AF764" s="10"/>
      <c r="AG764" s="61">
        <v>112</v>
      </c>
      <c r="AH764" s="59">
        <v>5</v>
      </c>
      <c r="AI764" s="59">
        <v>126</v>
      </c>
      <c r="AJ764" s="62"/>
      <c r="AK764" s="10"/>
      <c r="AL764" s="8"/>
      <c r="AM764" s="10"/>
      <c r="AN764" s="35"/>
      <c r="AO764" s="279"/>
      <c r="AP764" s="279"/>
      <c r="AQ764" s="281"/>
      <c r="AR764" s="59">
        <v>155</v>
      </c>
      <c r="AS764" s="59">
        <v>127</v>
      </c>
      <c r="AT764" s="59">
        <v>192</v>
      </c>
      <c r="AU764" s="59">
        <v>24</v>
      </c>
      <c r="AV764" s="62">
        <v>395</v>
      </c>
      <c r="AW764" s="10"/>
      <c r="AX764" s="326">
        <v>41305</v>
      </c>
      <c r="AY764" s="5">
        <f t="shared" si="378"/>
        <v>-1</v>
      </c>
      <c r="AZ764" s="10"/>
      <c r="BA764" s="364">
        <v>2008</v>
      </c>
      <c r="BB764" s="303">
        <v>74481966</v>
      </c>
      <c r="BC764" s="59"/>
      <c r="BD764" s="59">
        <v>31008457</v>
      </c>
      <c r="BE764" s="307">
        <v>70</v>
      </c>
      <c r="BF764" s="307">
        <v>14</v>
      </c>
      <c r="BG764" s="357">
        <v>3</v>
      </c>
      <c r="BH764" s="30">
        <f>SUM(BE764:BG764)</f>
        <v>87</v>
      </c>
      <c r="BI764" s="313">
        <v>3943583</v>
      </c>
      <c r="BJ764" s="342">
        <v>41315</v>
      </c>
      <c r="BK764" s="342">
        <v>41315</v>
      </c>
      <c r="BL764" s="320">
        <f>BK764-BJ764</f>
        <v>0</v>
      </c>
      <c r="BM764" s="62"/>
      <c r="BN764" s="10"/>
      <c r="BO764" s="8"/>
      <c r="BP764" s="62">
        <v>167</v>
      </c>
      <c r="BQ764" s="10"/>
      <c r="BR764" s="29">
        <v>2013</v>
      </c>
      <c r="BS764" s="64">
        <v>2013</v>
      </c>
      <c r="BT764" s="14">
        <v>3</v>
      </c>
      <c r="BU764" s="10"/>
      <c r="BV764" s="8"/>
      <c r="BW764" s="59"/>
      <c r="BX764" s="59"/>
      <c r="BY764" s="59"/>
      <c r="BZ764" s="59"/>
      <c r="CA764" s="59"/>
      <c r="CB764" s="221"/>
      <c r="CC764" s="59"/>
      <c r="CD764" s="59">
        <v>5</v>
      </c>
      <c r="CE764" s="317"/>
      <c r="CF764" s="221"/>
      <c r="CG764" s="59"/>
      <c r="CH764" s="59">
        <v>2</v>
      </c>
      <c r="CI764" s="59"/>
      <c r="CJ764" s="59">
        <v>20</v>
      </c>
      <c r="CK764" s="59"/>
      <c r="CL764" s="59"/>
      <c r="CM764" s="59"/>
      <c r="CN764" s="59">
        <v>1</v>
      </c>
      <c r="CO764" s="59">
        <v>3</v>
      </c>
      <c r="CP764" s="59"/>
      <c r="CQ764" s="59"/>
      <c r="CR764" s="221"/>
      <c r="CS764" s="59"/>
      <c r="CT764" s="59">
        <v>4</v>
      </c>
      <c r="CU764" s="221"/>
      <c r="CV764" s="59">
        <v>3</v>
      </c>
      <c r="CW764" s="59"/>
      <c r="CX764" s="59"/>
      <c r="CY764" s="59"/>
      <c r="CZ764" s="59"/>
      <c r="DA764" s="59"/>
      <c r="DB764" s="59">
        <v>2</v>
      </c>
      <c r="DC764" s="59"/>
      <c r="DD764" s="59"/>
      <c r="DE764" s="59"/>
      <c r="DF764" s="59"/>
      <c r="DG764" s="59">
        <v>1</v>
      </c>
      <c r="DH764" s="59"/>
      <c r="DI764" s="59"/>
      <c r="DJ764" s="59"/>
      <c r="DK764" s="59"/>
      <c r="DL764" s="221"/>
      <c r="DM764" s="59">
        <v>1</v>
      </c>
      <c r="DN764" s="59"/>
      <c r="DO764" s="59"/>
      <c r="DP764" s="59"/>
      <c r="DQ764" s="59"/>
      <c r="DR764" s="59"/>
      <c r="DS764" s="59"/>
      <c r="DT764" s="59"/>
      <c r="DU764" s="59"/>
      <c r="DV764" s="38">
        <f t="shared" si="380"/>
        <v>42</v>
      </c>
      <c r="DW764" s="14" t="str">
        <f t="shared" si="379"/>
        <v/>
      </c>
      <c r="DY764" s="316">
        <f t="shared" si="382"/>
        <v>42</v>
      </c>
      <c r="DZ764" s="316" t="str">
        <f t="shared" si="383"/>
        <v/>
      </c>
    </row>
    <row r="765" spans="1:130" s="316" customFormat="1">
      <c r="A765" s="210">
        <v>41320</v>
      </c>
      <c r="B765" s="211"/>
      <c r="C765" s="61">
        <v>1</v>
      </c>
      <c r="D765" s="59">
        <v>12</v>
      </c>
      <c r="E765" s="59">
        <v>0</v>
      </c>
      <c r="F765" s="59">
        <v>1</v>
      </c>
      <c r="G765" s="59">
        <v>0</v>
      </c>
      <c r="H765" s="59">
        <v>0</v>
      </c>
      <c r="I765" s="59">
        <v>0</v>
      </c>
      <c r="J765" s="59">
        <v>20</v>
      </c>
      <c r="K765" s="59">
        <v>1</v>
      </c>
      <c r="L765" s="59">
        <v>0</v>
      </c>
      <c r="M765" s="59">
        <v>0</v>
      </c>
      <c r="N765" s="59">
        <v>0</v>
      </c>
      <c r="O765" s="59">
        <v>8</v>
      </c>
      <c r="P765" s="59">
        <v>0</v>
      </c>
      <c r="Q765" s="59">
        <v>0</v>
      </c>
      <c r="R765" s="59">
        <v>0</v>
      </c>
      <c r="S765" s="35">
        <f t="shared" ref="S765:S769" si="384">SUM(C765:R765)</f>
        <v>43</v>
      </c>
      <c r="T765" s="59"/>
      <c r="U765" s="59">
        <v>9</v>
      </c>
      <c r="V765" s="59">
        <v>6</v>
      </c>
      <c r="W765" s="59">
        <v>0</v>
      </c>
      <c r="X765" s="62">
        <v>0</v>
      </c>
      <c r="Y765" s="10"/>
      <c r="Z765" s="61">
        <v>168120</v>
      </c>
      <c r="AA765" s="101"/>
      <c r="AB765" s="101"/>
      <c r="AC765" s="61">
        <v>1481170</v>
      </c>
      <c r="AD765" s="59"/>
      <c r="AE765" s="35">
        <f t="shared" si="377"/>
        <v>1481170</v>
      </c>
      <c r="AF765" s="10"/>
      <c r="AG765" s="61">
        <v>57</v>
      </c>
      <c r="AH765" s="59">
        <v>14</v>
      </c>
      <c r="AI765" s="59">
        <v>88</v>
      </c>
      <c r="AJ765" s="62"/>
      <c r="AK765" s="10"/>
      <c r="AL765" s="8"/>
      <c r="AM765" s="10"/>
      <c r="AN765" s="35"/>
      <c r="AO765" s="279"/>
      <c r="AP765" s="279"/>
      <c r="AQ765" s="281"/>
      <c r="AR765" s="59">
        <v>156</v>
      </c>
      <c r="AS765" s="59">
        <v>126</v>
      </c>
      <c r="AT765" s="59">
        <v>194</v>
      </c>
      <c r="AU765" s="59">
        <v>24</v>
      </c>
      <c r="AV765" s="62">
        <v>396</v>
      </c>
      <c r="AW765" s="10"/>
      <c r="AX765" s="326">
        <v>41318</v>
      </c>
      <c r="AY765" s="5">
        <f t="shared" si="378"/>
        <v>-2</v>
      </c>
      <c r="AZ765" s="10"/>
      <c r="BA765" s="365"/>
      <c r="BB765" s="307"/>
      <c r="BC765" s="59"/>
      <c r="BD765" s="59"/>
      <c r="BE765" s="59"/>
      <c r="BF765" s="59"/>
      <c r="BG765" s="62"/>
      <c r="BH765" s="351"/>
      <c r="BI765" s="59"/>
      <c r="BJ765" s="342"/>
      <c r="BK765" s="342"/>
      <c r="BL765" s="320"/>
      <c r="BM765" s="62"/>
      <c r="BN765" s="10"/>
      <c r="BO765" s="8"/>
      <c r="BP765" s="62"/>
      <c r="BQ765" s="10"/>
      <c r="BR765" s="29">
        <v>2013</v>
      </c>
      <c r="BS765" s="64">
        <v>2013</v>
      </c>
      <c r="BT765" s="14">
        <v>4</v>
      </c>
      <c r="BU765" s="10"/>
      <c r="BV765" s="8"/>
      <c r="BW765" s="59">
        <v>3</v>
      </c>
      <c r="BX765" s="59"/>
      <c r="BY765" s="59"/>
      <c r="BZ765" s="59"/>
      <c r="CA765" s="59"/>
      <c r="CB765" s="221"/>
      <c r="CC765" s="59"/>
      <c r="CD765" s="59"/>
      <c r="CE765" s="317"/>
      <c r="CF765" s="221"/>
      <c r="CG765" s="59"/>
      <c r="CH765" s="59"/>
      <c r="CI765" s="59">
        <v>1</v>
      </c>
      <c r="CJ765" s="59">
        <v>7</v>
      </c>
      <c r="CK765" s="59"/>
      <c r="CL765" s="59"/>
      <c r="CM765" s="59"/>
      <c r="CN765" s="59">
        <v>3</v>
      </c>
      <c r="CO765" s="59">
        <v>8</v>
      </c>
      <c r="CP765" s="59"/>
      <c r="CQ765" s="59"/>
      <c r="CR765" s="221"/>
      <c r="CS765" s="59"/>
      <c r="CT765" s="59">
        <v>10</v>
      </c>
      <c r="CU765" s="221"/>
      <c r="CV765" s="59">
        <v>2</v>
      </c>
      <c r="CW765" s="59"/>
      <c r="CX765" s="59"/>
      <c r="CY765" s="59"/>
      <c r="CZ765" s="59"/>
      <c r="DA765" s="59"/>
      <c r="DB765" s="59">
        <v>4</v>
      </c>
      <c r="DC765" s="59"/>
      <c r="DD765" s="59">
        <v>1</v>
      </c>
      <c r="DE765" s="59"/>
      <c r="DF765" s="59"/>
      <c r="DG765" s="59">
        <v>3</v>
      </c>
      <c r="DH765" s="59"/>
      <c r="DI765" s="59"/>
      <c r="DJ765" s="59"/>
      <c r="DK765" s="59"/>
      <c r="DL765" s="221"/>
      <c r="DM765" s="59"/>
      <c r="DN765" s="59"/>
      <c r="DO765" s="59"/>
      <c r="DP765" s="59"/>
      <c r="DQ765" s="59"/>
      <c r="DR765" s="59"/>
      <c r="DS765" s="59">
        <v>1</v>
      </c>
      <c r="DT765" s="59"/>
      <c r="DU765" s="59"/>
      <c r="DV765" s="38">
        <f t="shared" si="380"/>
        <v>43</v>
      </c>
      <c r="DW765" s="14" t="str">
        <f t="shared" si="379"/>
        <v/>
      </c>
      <c r="DY765" s="316">
        <f t="shared" si="382"/>
        <v>43</v>
      </c>
      <c r="DZ765" s="316" t="str">
        <f t="shared" si="383"/>
        <v/>
      </c>
    </row>
    <row r="766" spans="1:130" s="316" customFormat="1">
      <c r="A766" s="210">
        <v>41334</v>
      </c>
      <c r="B766" s="211"/>
      <c r="C766" s="61">
        <v>4</v>
      </c>
      <c r="D766" s="59">
        <v>48</v>
      </c>
      <c r="E766" s="59">
        <v>0</v>
      </c>
      <c r="F766" s="59">
        <v>0</v>
      </c>
      <c r="G766" s="59">
        <v>2</v>
      </c>
      <c r="H766" s="59">
        <v>0</v>
      </c>
      <c r="I766" s="59">
        <v>0</v>
      </c>
      <c r="J766" s="59">
        <v>51</v>
      </c>
      <c r="K766" s="59">
        <v>0</v>
      </c>
      <c r="L766" s="59">
        <v>0</v>
      </c>
      <c r="M766" s="59">
        <v>0</v>
      </c>
      <c r="N766" s="59">
        <v>0</v>
      </c>
      <c r="O766" s="59">
        <v>0</v>
      </c>
      <c r="P766" s="59">
        <v>3</v>
      </c>
      <c r="Q766" s="59">
        <v>0</v>
      </c>
      <c r="R766" s="59">
        <v>0</v>
      </c>
      <c r="S766" s="35">
        <f t="shared" si="384"/>
        <v>108</v>
      </c>
      <c r="T766" s="59"/>
      <c r="U766" s="59">
        <v>7</v>
      </c>
      <c r="V766" s="59">
        <v>7</v>
      </c>
      <c r="W766" s="59">
        <v>2</v>
      </c>
      <c r="X766" s="62">
        <v>0</v>
      </c>
      <c r="Y766" s="10"/>
      <c r="Z766" s="61">
        <v>342955</v>
      </c>
      <c r="AA766" s="101"/>
      <c r="AB766" s="101"/>
      <c r="AC766" s="61">
        <v>3913799</v>
      </c>
      <c r="AD766" s="59"/>
      <c r="AE766" s="35">
        <f t="shared" si="377"/>
        <v>3913799</v>
      </c>
      <c r="AF766" s="10"/>
      <c r="AG766" s="61">
        <v>216</v>
      </c>
      <c r="AH766" s="59">
        <v>1</v>
      </c>
      <c r="AI766" s="59">
        <v>228</v>
      </c>
      <c r="AJ766" s="62"/>
      <c r="AK766" s="10"/>
      <c r="AL766" s="8"/>
      <c r="AM766" s="10"/>
      <c r="AN766" s="35"/>
      <c r="AO766" s="279"/>
      <c r="AP766" s="279"/>
      <c r="AQ766" s="281"/>
      <c r="AR766" s="59">
        <v>157</v>
      </c>
      <c r="AS766" s="59"/>
      <c r="AT766" s="59"/>
      <c r="AU766" s="59"/>
      <c r="AV766" s="62"/>
      <c r="AW766" s="10"/>
      <c r="AX766" s="326">
        <v>41333</v>
      </c>
      <c r="AY766" s="5">
        <f t="shared" si="378"/>
        <v>-1</v>
      </c>
      <c r="AZ766" s="10"/>
      <c r="BA766" s="365">
        <v>2002</v>
      </c>
      <c r="BB766" s="303">
        <v>74133251</v>
      </c>
      <c r="BC766" s="59"/>
      <c r="BD766" s="59">
        <v>31025673</v>
      </c>
      <c r="BE766" s="307">
        <v>79</v>
      </c>
      <c r="BF766" s="307">
        <v>9</v>
      </c>
      <c r="BG766" s="357">
        <v>14</v>
      </c>
      <c r="BH766" s="30">
        <f>SUM(BE766:BG766)</f>
        <v>102</v>
      </c>
      <c r="BI766" s="313">
        <v>3564951</v>
      </c>
      <c r="BJ766" s="342">
        <v>41343</v>
      </c>
      <c r="BK766" s="342">
        <v>41347</v>
      </c>
      <c r="BL766" s="320">
        <f>BK766-BJ766</f>
        <v>4</v>
      </c>
      <c r="BM766" s="62"/>
      <c r="BN766" s="59"/>
      <c r="BO766" s="61"/>
      <c r="BP766" s="62">
        <v>167</v>
      </c>
      <c r="BQ766" s="10"/>
      <c r="BR766" s="29">
        <v>2013</v>
      </c>
      <c r="BS766" s="64">
        <v>2013</v>
      </c>
      <c r="BT766" s="14">
        <v>5</v>
      </c>
      <c r="BU766" s="10"/>
      <c r="BV766" s="8"/>
      <c r="BW766" s="59">
        <v>2</v>
      </c>
      <c r="BX766" s="59"/>
      <c r="BY766" s="59"/>
      <c r="BZ766" s="59"/>
      <c r="CA766" s="59"/>
      <c r="CB766" s="221"/>
      <c r="CC766" s="59"/>
      <c r="CD766" s="59">
        <v>5</v>
      </c>
      <c r="CE766" s="317"/>
      <c r="CF766" s="221"/>
      <c r="CG766" s="59"/>
      <c r="CH766" s="59"/>
      <c r="CI766" s="59">
        <v>3</v>
      </c>
      <c r="CJ766" s="59">
        <v>77</v>
      </c>
      <c r="CK766" s="59"/>
      <c r="CL766" s="59"/>
      <c r="CM766" s="59"/>
      <c r="CN766" s="59"/>
      <c r="CO766" s="59">
        <v>5</v>
      </c>
      <c r="CP766" s="59"/>
      <c r="CQ766" s="59"/>
      <c r="CR766" s="221"/>
      <c r="CS766" s="59"/>
      <c r="CT766" s="59">
        <v>3</v>
      </c>
      <c r="CU766" s="221"/>
      <c r="CV766" s="59"/>
      <c r="CW766" s="59"/>
      <c r="CX766" s="59"/>
      <c r="CY766" s="59"/>
      <c r="CZ766" s="59"/>
      <c r="DA766" s="59"/>
      <c r="DB766" s="59"/>
      <c r="DC766" s="59">
        <v>13</v>
      </c>
      <c r="DD766" s="59"/>
      <c r="DE766" s="59"/>
      <c r="DF766" s="59"/>
      <c r="DG766" s="59"/>
      <c r="DH766" s="59"/>
      <c r="DI766" s="59"/>
      <c r="DJ766" s="59"/>
      <c r="DK766" s="59"/>
      <c r="DL766" s="221"/>
      <c r="DM766" s="59"/>
      <c r="DN766" s="59"/>
      <c r="DO766" s="59"/>
      <c r="DP766" s="59"/>
      <c r="DQ766" s="59"/>
      <c r="DR766" s="59"/>
      <c r="DS766" s="59"/>
      <c r="DT766" s="59"/>
      <c r="DU766" s="59"/>
      <c r="DV766" s="38">
        <f t="shared" si="380"/>
        <v>108</v>
      </c>
      <c r="DW766" s="14" t="str">
        <f t="shared" si="379"/>
        <v/>
      </c>
      <c r="DY766" s="316">
        <f t="shared" si="382"/>
        <v>108</v>
      </c>
      <c r="DZ766" s="316" t="str">
        <f t="shared" si="383"/>
        <v/>
      </c>
    </row>
    <row r="767" spans="1:130" s="316" customFormat="1">
      <c r="A767" s="210">
        <v>41348</v>
      </c>
      <c r="B767" s="211"/>
      <c r="C767" s="61">
        <v>2</v>
      </c>
      <c r="D767" s="59">
        <v>20</v>
      </c>
      <c r="E767" s="59">
        <v>0</v>
      </c>
      <c r="F767" s="59">
        <v>0</v>
      </c>
      <c r="G767" s="59">
        <v>0</v>
      </c>
      <c r="H767" s="59">
        <v>0</v>
      </c>
      <c r="I767" s="59">
        <v>0</v>
      </c>
      <c r="J767" s="59">
        <v>3</v>
      </c>
      <c r="K767" s="59">
        <v>0</v>
      </c>
      <c r="L767" s="59">
        <v>0</v>
      </c>
      <c r="M767" s="59">
        <v>0</v>
      </c>
      <c r="N767" s="59">
        <v>0</v>
      </c>
      <c r="O767" s="59">
        <v>1</v>
      </c>
      <c r="P767" s="59">
        <v>0</v>
      </c>
      <c r="Q767" s="59">
        <v>0</v>
      </c>
      <c r="R767" s="59">
        <v>0</v>
      </c>
      <c r="S767" s="35">
        <f t="shared" si="384"/>
        <v>26</v>
      </c>
      <c r="T767" s="59"/>
      <c r="U767" s="59">
        <v>3</v>
      </c>
      <c r="V767" s="59">
        <v>2</v>
      </c>
      <c r="W767" s="59">
        <v>0</v>
      </c>
      <c r="X767" s="62">
        <v>0</v>
      </c>
      <c r="Y767" s="10"/>
      <c r="Z767" s="61">
        <v>198441</v>
      </c>
      <c r="AA767" s="101"/>
      <c r="AB767" s="101"/>
      <c r="AC767" s="61">
        <v>1005587</v>
      </c>
      <c r="AD767" s="59"/>
      <c r="AE767" s="35">
        <f t="shared" si="377"/>
        <v>1005587</v>
      </c>
      <c r="AF767" s="10"/>
      <c r="AG767" s="61">
        <v>46</v>
      </c>
      <c r="AH767" s="59">
        <v>26</v>
      </c>
      <c r="AI767" s="59">
        <v>84</v>
      </c>
      <c r="AJ767" s="62"/>
      <c r="AK767" s="10"/>
      <c r="AL767" s="8"/>
      <c r="AM767" s="10"/>
      <c r="AN767" s="35"/>
      <c r="AO767" s="279"/>
      <c r="AP767" s="279"/>
      <c r="AQ767" s="281"/>
      <c r="AR767" s="59">
        <v>157</v>
      </c>
      <c r="AS767" s="59"/>
      <c r="AT767" s="59"/>
      <c r="AU767" s="59"/>
      <c r="AV767" s="62"/>
      <c r="AW767" s="10"/>
      <c r="AX767" s="326">
        <v>41346</v>
      </c>
      <c r="AY767" s="5">
        <f t="shared" si="378"/>
        <v>-2</v>
      </c>
      <c r="AZ767" s="10"/>
      <c r="BA767" s="365"/>
      <c r="BB767" s="307"/>
      <c r="BC767" s="59"/>
      <c r="BD767" s="59"/>
      <c r="BE767" s="59"/>
      <c r="BF767" s="59"/>
      <c r="BG767" s="62"/>
      <c r="BH767" s="351"/>
      <c r="BI767" s="59"/>
      <c r="BJ767" s="342"/>
      <c r="BK767" s="342"/>
      <c r="BL767" s="320"/>
      <c r="BM767" s="62"/>
      <c r="BN767" s="10"/>
      <c r="BO767" s="8"/>
      <c r="BP767" s="62"/>
      <c r="BQ767" s="10"/>
      <c r="BR767" s="29">
        <v>2013</v>
      </c>
      <c r="BS767" s="64">
        <v>2013</v>
      </c>
      <c r="BT767" s="14">
        <v>6</v>
      </c>
      <c r="BU767" s="10"/>
      <c r="BV767" s="8">
        <v>2</v>
      </c>
      <c r="BW767" s="59"/>
      <c r="BX767" s="59">
        <v>14</v>
      </c>
      <c r="BY767" s="59"/>
      <c r="BZ767" s="59"/>
      <c r="CA767" s="59"/>
      <c r="CB767" s="221"/>
      <c r="CC767" s="59"/>
      <c r="CD767" s="59">
        <v>1</v>
      </c>
      <c r="CE767" s="317"/>
      <c r="CF767" s="221"/>
      <c r="CG767" s="59"/>
      <c r="CH767" s="59">
        <v>1</v>
      </c>
      <c r="CI767" s="59">
        <v>3</v>
      </c>
      <c r="CJ767" s="59">
        <v>4</v>
      </c>
      <c r="CK767" s="59"/>
      <c r="CL767" s="59"/>
      <c r="CM767" s="59"/>
      <c r="CN767" s="59"/>
      <c r="CO767" s="59"/>
      <c r="CP767" s="59"/>
      <c r="CQ767" s="59"/>
      <c r="CR767" s="221"/>
      <c r="CS767" s="59"/>
      <c r="CT767" s="59"/>
      <c r="CU767" s="221"/>
      <c r="CV767" s="59">
        <v>1</v>
      </c>
      <c r="CW767" s="59"/>
      <c r="CX767" s="59"/>
      <c r="CY767" s="59"/>
      <c r="CZ767" s="59"/>
      <c r="DA767" s="59"/>
      <c r="DB767" s="59"/>
      <c r="DC767" s="59"/>
      <c r="DD767" s="59"/>
      <c r="DE767" s="59"/>
      <c r="DF767" s="59"/>
      <c r="DG767" s="59"/>
      <c r="DH767" s="59"/>
      <c r="DI767" s="59"/>
      <c r="DJ767" s="59"/>
      <c r="DK767" s="59"/>
      <c r="DL767" s="221"/>
      <c r="DM767" s="59"/>
      <c r="DN767" s="59"/>
      <c r="DO767" s="59"/>
      <c r="DP767" s="59"/>
      <c r="DQ767" s="59"/>
      <c r="DR767" s="59"/>
      <c r="DS767" s="59"/>
      <c r="DT767" s="59"/>
      <c r="DU767" s="59"/>
      <c r="DV767" s="38">
        <f t="shared" si="380"/>
        <v>26</v>
      </c>
      <c r="DW767" s="14" t="str">
        <f t="shared" si="379"/>
        <v/>
      </c>
      <c r="DY767" s="316">
        <f t="shared" si="382"/>
        <v>26</v>
      </c>
      <c r="DZ767" s="316" t="str">
        <f t="shared" si="383"/>
        <v/>
      </c>
    </row>
    <row r="768" spans="1:130" s="316" customFormat="1">
      <c r="A768" s="210">
        <v>41365</v>
      </c>
      <c r="B768" s="211"/>
      <c r="C768" s="61">
        <v>2</v>
      </c>
      <c r="D768" s="59">
        <v>9</v>
      </c>
      <c r="E768" s="59">
        <v>0</v>
      </c>
      <c r="F768" s="59">
        <v>0</v>
      </c>
      <c r="G768" s="59">
        <v>4</v>
      </c>
      <c r="H768" s="59">
        <v>2</v>
      </c>
      <c r="I768" s="59">
        <v>0</v>
      </c>
      <c r="J768" s="59">
        <v>17</v>
      </c>
      <c r="K768" s="59">
        <v>0</v>
      </c>
      <c r="L768" s="59">
        <v>3</v>
      </c>
      <c r="M768" s="59">
        <v>0</v>
      </c>
      <c r="N768" s="59">
        <v>0</v>
      </c>
      <c r="O768" s="59">
        <v>2</v>
      </c>
      <c r="P768" s="59">
        <v>1</v>
      </c>
      <c r="Q768" s="59">
        <v>0</v>
      </c>
      <c r="R768" s="59">
        <v>0</v>
      </c>
      <c r="S768" s="35">
        <f t="shared" si="384"/>
        <v>40</v>
      </c>
      <c r="T768" s="59"/>
      <c r="U768" s="59">
        <v>12</v>
      </c>
      <c r="V768" s="59">
        <v>9</v>
      </c>
      <c r="W768" s="59">
        <v>0</v>
      </c>
      <c r="X768" s="62">
        <v>1</v>
      </c>
      <c r="Y768" s="10"/>
      <c r="Z768" s="61">
        <v>246125</v>
      </c>
      <c r="AA768" s="101"/>
      <c r="AB768" s="101"/>
      <c r="AC768" s="61">
        <v>1013386</v>
      </c>
      <c r="AD768" s="59"/>
      <c r="AE768" s="35">
        <f t="shared" si="377"/>
        <v>1013386</v>
      </c>
      <c r="AF768" s="10"/>
      <c r="AG768" s="61">
        <v>67</v>
      </c>
      <c r="AH768" s="59">
        <v>28</v>
      </c>
      <c r="AI768" s="59">
        <v>108</v>
      </c>
      <c r="AJ768" s="62"/>
      <c r="AK768" s="10"/>
      <c r="AL768" s="8">
        <v>0</v>
      </c>
      <c r="AM768" s="59">
        <v>33</v>
      </c>
      <c r="AN768" s="35">
        <f>SUM(AL768:AM768)</f>
        <v>33</v>
      </c>
      <c r="AO768" s="279"/>
      <c r="AP768" s="279"/>
      <c r="AQ768" s="281"/>
      <c r="AR768" s="59">
        <v>158</v>
      </c>
      <c r="AS768" s="59">
        <v>129</v>
      </c>
      <c r="AT768" s="59">
        <v>197</v>
      </c>
      <c r="AU768" s="59">
        <v>24</v>
      </c>
      <c r="AV768" s="62">
        <v>402</v>
      </c>
      <c r="AW768" s="10"/>
      <c r="AX768" s="326">
        <v>41362</v>
      </c>
      <c r="AY768" s="5">
        <f t="shared" ref="AY768:AY773" si="385">AX768-A768</f>
        <v>-3</v>
      </c>
      <c r="AZ768" s="10"/>
      <c r="BA768" s="365">
        <v>2001</v>
      </c>
      <c r="BB768" s="307">
        <v>74195917</v>
      </c>
      <c r="BC768" s="59"/>
      <c r="BD768" s="59">
        <v>31035044</v>
      </c>
      <c r="BE768" s="59">
        <v>66</v>
      </c>
      <c r="BF768" s="59">
        <v>2</v>
      </c>
      <c r="BG768" s="62">
        <v>3</v>
      </c>
      <c r="BH768" s="30">
        <f>SUM(BE768:BG768)</f>
        <v>71</v>
      </c>
      <c r="BI768" s="59">
        <v>2717762</v>
      </c>
      <c r="BJ768" s="342">
        <v>41374</v>
      </c>
      <c r="BK768" s="342">
        <v>41374</v>
      </c>
      <c r="BL768" s="320">
        <f>BK768-BJ768</f>
        <v>0</v>
      </c>
      <c r="BM768" s="62"/>
      <c r="BN768" s="59"/>
      <c r="BO768" s="61"/>
      <c r="BP768" s="62">
        <v>167</v>
      </c>
      <c r="BQ768" s="10"/>
      <c r="BR768" s="29">
        <v>2013</v>
      </c>
      <c r="BS768" s="64">
        <v>2013</v>
      </c>
      <c r="BT768" s="14">
        <v>7</v>
      </c>
      <c r="BU768" s="10"/>
      <c r="BV768" s="8">
        <v>1</v>
      </c>
      <c r="BW768" s="59"/>
      <c r="BX768" s="59"/>
      <c r="BY768" s="59"/>
      <c r="BZ768" s="59"/>
      <c r="CA768" s="59"/>
      <c r="CB768" s="221"/>
      <c r="CC768" s="59"/>
      <c r="CD768" s="59">
        <v>4</v>
      </c>
      <c r="CE768" s="317"/>
      <c r="CF768" s="221"/>
      <c r="CG768" s="59">
        <v>1</v>
      </c>
      <c r="CH768" s="59"/>
      <c r="CI768" s="59">
        <v>11</v>
      </c>
      <c r="CJ768" s="59">
        <v>2</v>
      </c>
      <c r="CK768" s="59"/>
      <c r="CL768" s="59"/>
      <c r="CM768" s="59"/>
      <c r="CN768" s="59"/>
      <c r="CO768" s="59">
        <v>9</v>
      </c>
      <c r="CP768" s="59"/>
      <c r="CQ768" s="59"/>
      <c r="CR768" s="221"/>
      <c r="CS768" s="59"/>
      <c r="CT768" s="59">
        <v>1</v>
      </c>
      <c r="CU768" s="221"/>
      <c r="CV768" s="59">
        <v>1</v>
      </c>
      <c r="CW768" s="59"/>
      <c r="CX768" s="59">
        <v>2</v>
      </c>
      <c r="CY768" s="59"/>
      <c r="CZ768" s="59"/>
      <c r="DA768" s="59"/>
      <c r="DB768" s="59">
        <v>2</v>
      </c>
      <c r="DC768" s="59">
        <v>1</v>
      </c>
      <c r="DD768" s="59"/>
      <c r="DE768" s="59"/>
      <c r="DF768" s="59"/>
      <c r="DG768" s="59">
        <v>1</v>
      </c>
      <c r="DH768" s="59">
        <v>2</v>
      </c>
      <c r="DI768" s="59">
        <v>2</v>
      </c>
      <c r="DJ768" s="59"/>
      <c r="DK768" s="59"/>
      <c r="DL768" s="221"/>
      <c r="DM768" s="59"/>
      <c r="DN768" s="59"/>
      <c r="DO768" s="59"/>
      <c r="DP768" s="59"/>
      <c r="DQ768" s="59"/>
      <c r="DR768" s="59"/>
      <c r="DS768" s="59"/>
      <c r="DT768" s="59"/>
      <c r="DU768" s="59"/>
      <c r="DV768" s="38">
        <f t="shared" si="380"/>
        <v>40</v>
      </c>
      <c r="DW768" s="14" t="str">
        <f t="shared" si="379"/>
        <v/>
      </c>
      <c r="DY768" s="316">
        <f t="shared" si="382"/>
        <v>40</v>
      </c>
      <c r="DZ768" s="316" t="str">
        <f t="shared" si="383"/>
        <v/>
      </c>
    </row>
    <row r="769" spans="1:130" s="316" customFormat="1">
      <c r="A769" s="210">
        <v>41379</v>
      </c>
      <c r="B769" s="211"/>
      <c r="C769" s="61">
        <v>2</v>
      </c>
      <c r="D769" s="59">
        <v>19</v>
      </c>
      <c r="E769" s="59">
        <v>0</v>
      </c>
      <c r="F769" s="59">
        <v>0</v>
      </c>
      <c r="G769" s="59">
        <v>0</v>
      </c>
      <c r="H769" s="59">
        <v>1</v>
      </c>
      <c r="I769" s="59">
        <v>0</v>
      </c>
      <c r="J769" s="59">
        <v>29</v>
      </c>
      <c r="K769" s="59">
        <v>0</v>
      </c>
      <c r="L769" s="59">
        <v>1</v>
      </c>
      <c r="M769" s="59">
        <v>0</v>
      </c>
      <c r="N769" s="59">
        <v>0</v>
      </c>
      <c r="O769" s="59">
        <v>2</v>
      </c>
      <c r="P769" s="59">
        <v>0</v>
      </c>
      <c r="Q769" s="59">
        <v>1</v>
      </c>
      <c r="R769" s="59">
        <v>0</v>
      </c>
      <c r="S769" s="35">
        <f t="shared" si="384"/>
        <v>55</v>
      </c>
      <c r="T769" s="59"/>
      <c r="U769" s="59">
        <v>9</v>
      </c>
      <c r="V769" s="59">
        <v>5</v>
      </c>
      <c r="W769" s="59">
        <v>0</v>
      </c>
      <c r="X769" s="62">
        <v>1</v>
      </c>
      <c r="Y769" s="10"/>
      <c r="Z769" s="61">
        <v>236674</v>
      </c>
      <c r="AA769" s="101"/>
      <c r="AB769" s="101"/>
      <c r="AC769" s="61">
        <v>1114436</v>
      </c>
      <c r="AD769" s="59"/>
      <c r="AE769" s="35">
        <f t="shared" si="377"/>
        <v>1114436</v>
      </c>
      <c r="AF769" s="10"/>
      <c r="AG769" s="61">
        <v>65</v>
      </c>
      <c r="AH769" s="59">
        <v>33</v>
      </c>
      <c r="AI769" s="59">
        <v>116</v>
      </c>
      <c r="AJ769" s="62"/>
      <c r="AK769" s="10"/>
      <c r="AL769" s="8"/>
      <c r="AM769" s="10"/>
      <c r="AN769" s="35"/>
      <c r="AO769" s="279"/>
      <c r="AP769" s="279"/>
      <c r="AQ769" s="281"/>
      <c r="AR769" s="59">
        <v>157</v>
      </c>
      <c r="AS769" s="59">
        <v>129</v>
      </c>
      <c r="AT769" s="59">
        <v>198</v>
      </c>
      <c r="AU769" s="59">
        <v>24</v>
      </c>
      <c r="AV769" s="62">
        <v>403</v>
      </c>
      <c r="AW769" s="10"/>
      <c r="AX769" s="326">
        <v>41376</v>
      </c>
      <c r="AY769" s="5">
        <f t="shared" si="385"/>
        <v>-3</v>
      </c>
      <c r="AZ769" s="10"/>
      <c r="BA769" s="365"/>
      <c r="BB769" s="307"/>
      <c r="BC769" s="59"/>
      <c r="BD769" s="59"/>
      <c r="BE769" s="59"/>
      <c r="BF769" s="59"/>
      <c r="BG769" s="62"/>
      <c r="BH769" s="351"/>
      <c r="BI769" s="59"/>
      <c r="BJ769" s="342"/>
      <c r="BK769" s="342"/>
      <c r="BL769" s="320"/>
      <c r="BM769" s="62"/>
      <c r="BN769" s="10"/>
      <c r="BO769" s="8"/>
      <c r="BP769" s="62"/>
      <c r="BQ769" s="10"/>
      <c r="BR769" s="29">
        <v>2013</v>
      </c>
      <c r="BS769" s="64">
        <v>2013</v>
      </c>
      <c r="BT769" s="14">
        <v>8</v>
      </c>
      <c r="BU769" s="10"/>
      <c r="BV769" s="8"/>
      <c r="BW769" s="59">
        <v>2</v>
      </c>
      <c r="BX769" s="59"/>
      <c r="BY769" s="59"/>
      <c r="BZ769" s="59"/>
      <c r="CA769" s="59"/>
      <c r="CB769" s="221"/>
      <c r="CC769" s="59"/>
      <c r="CD769" s="59">
        <v>1</v>
      </c>
      <c r="CE769" s="317"/>
      <c r="CF769" s="221"/>
      <c r="CG769" s="59"/>
      <c r="CH769" s="59"/>
      <c r="CI769" s="59">
        <v>1</v>
      </c>
      <c r="CJ769" s="59">
        <v>1</v>
      </c>
      <c r="CK769" s="59"/>
      <c r="CL769" s="59"/>
      <c r="CM769" s="59"/>
      <c r="CN769" s="59"/>
      <c r="CO769" s="59">
        <v>21</v>
      </c>
      <c r="CP769" s="59"/>
      <c r="CQ769" s="59"/>
      <c r="CR769" s="221"/>
      <c r="CS769" s="59"/>
      <c r="CT769" s="59"/>
      <c r="CU769" s="221"/>
      <c r="CV769" s="59">
        <v>1</v>
      </c>
      <c r="CW769" s="59"/>
      <c r="CX769" s="59"/>
      <c r="CY769" s="59"/>
      <c r="CZ769" s="59"/>
      <c r="DA769" s="59"/>
      <c r="DB769" s="59">
        <v>7</v>
      </c>
      <c r="DC769" s="59">
        <v>14</v>
      </c>
      <c r="DD769" s="59"/>
      <c r="DE769" s="59"/>
      <c r="DF769" s="59"/>
      <c r="DG769" s="59">
        <v>1</v>
      </c>
      <c r="DH769" s="59">
        <v>5</v>
      </c>
      <c r="DI769" s="59">
        <v>1</v>
      </c>
      <c r="DJ769" s="59"/>
      <c r="DK769" s="59"/>
      <c r="DL769" s="221"/>
      <c r="DM769" s="59"/>
      <c r="DN769" s="59"/>
      <c r="DO769" s="59"/>
      <c r="DP769" s="59"/>
      <c r="DQ769" s="59"/>
      <c r="DR769" s="59"/>
      <c r="DS769" s="59"/>
      <c r="DT769" s="59"/>
      <c r="DU769" s="59"/>
      <c r="DV769" s="38">
        <f t="shared" si="380"/>
        <v>55</v>
      </c>
      <c r="DW769" s="14" t="str">
        <f t="shared" si="379"/>
        <v/>
      </c>
      <c r="DY769" s="316">
        <f t="shared" si="382"/>
        <v>55</v>
      </c>
      <c r="DZ769" s="316" t="str">
        <f t="shared" si="383"/>
        <v/>
      </c>
    </row>
    <row r="770" spans="1:130" s="316" customFormat="1">
      <c r="A770" s="210">
        <v>41395</v>
      </c>
      <c r="B770" s="211"/>
      <c r="C770" s="61">
        <v>0</v>
      </c>
      <c r="D770" s="59">
        <v>9</v>
      </c>
      <c r="E770" s="59">
        <v>0</v>
      </c>
      <c r="F770" s="59">
        <v>0</v>
      </c>
      <c r="G770" s="59">
        <v>0</v>
      </c>
      <c r="H770" s="59">
        <v>0</v>
      </c>
      <c r="I770" s="59">
        <v>0</v>
      </c>
      <c r="J770" s="59">
        <v>31</v>
      </c>
      <c r="K770" s="59">
        <v>0</v>
      </c>
      <c r="L770" s="59">
        <v>0</v>
      </c>
      <c r="M770" s="59">
        <v>0</v>
      </c>
      <c r="N770" s="59">
        <v>0</v>
      </c>
      <c r="O770" s="59">
        <v>14</v>
      </c>
      <c r="P770" s="59">
        <v>1</v>
      </c>
      <c r="Q770" s="59">
        <v>0</v>
      </c>
      <c r="R770" s="59">
        <v>0</v>
      </c>
      <c r="S770" s="35">
        <f>SUM(C770:R770)</f>
        <v>55</v>
      </c>
      <c r="T770" s="59"/>
      <c r="U770" s="59">
        <v>5</v>
      </c>
      <c r="V770" s="59">
        <v>4</v>
      </c>
      <c r="W770" s="59">
        <v>0</v>
      </c>
      <c r="X770" s="62">
        <v>0</v>
      </c>
      <c r="Y770" s="10"/>
      <c r="Z770" s="61">
        <v>233431</v>
      </c>
      <c r="AA770" s="101"/>
      <c r="AB770" s="101"/>
      <c r="AC770" s="61">
        <v>1184759</v>
      </c>
      <c r="AD770" s="59"/>
      <c r="AE770" s="35">
        <f t="shared" si="377"/>
        <v>1184759</v>
      </c>
      <c r="AF770" s="10"/>
      <c r="AG770" s="61">
        <v>43</v>
      </c>
      <c r="AH770" s="59">
        <v>37</v>
      </c>
      <c r="AI770" s="59">
        <v>92</v>
      </c>
      <c r="AJ770" s="62"/>
      <c r="AK770" s="10"/>
      <c r="AL770" s="8"/>
      <c r="AM770" s="10"/>
      <c r="AN770" s="35"/>
      <c r="AO770" s="279"/>
      <c r="AP770" s="279"/>
      <c r="AQ770" s="281"/>
      <c r="AR770" s="59">
        <v>156</v>
      </c>
      <c r="AS770" s="59">
        <v>131</v>
      </c>
      <c r="AT770" s="59">
        <v>198</v>
      </c>
      <c r="AU770" s="59">
        <v>24</v>
      </c>
      <c r="AV770" s="62">
        <v>405</v>
      </c>
      <c r="AW770" s="10"/>
      <c r="AX770" s="326">
        <v>41393</v>
      </c>
      <c r="AY770" s="5">
        <f t="shared" si="385"/>
        <v>-2</v>
      </c>
      <c r="AZ770" s="10"/>
      <c r="BA770" s="365">
        <v>2006</v>
      </c>
      <c r="BB770" s="307">
        <v>74488677</v>
      </c>
      <c r="BC770" s="59"/>
      <c r="BD770" s="59">
        <v>31007129</v>
      </c>
      <c r="BE770" s="59">
        <v>123</v>
      </c>
      <c r="BF770" s="59">
        <v>6</v>
      </c>
      <c r="BG770" s="62">
        <v>1</v>
      </c>
      <c r="BH770" s="30">
        <f>SUM(BE770:BG770)</f>
        <v>130</v>
      </c>
      <c r="BI770" s="59">
        <v>5173558</v>
      </c>
      <c r="BJ770" s="342">
        <v>41404</v>
      </c>
      <c r="BK770" s="342">
        <v>41429</v>
      </c>
      <c r="BL770" s="320">
        <f>BK770-BJ770</f>
        <v>25</v>
      </c>
      <c r="BM770" s="62"/>
      <c r="BN770" s="10"/>
      <c r="BO770" s="8"/>
      <c r="BP770" s="5">
        <v>167</v>
      </c>
      <c r="BQ770" s="10"/>
      <c r="BR770" s="29">
        <v>2013</v>
      </c>
      <c r="BS770" s="64">
        <v>2013</v>
      </c>
      <c r="BT770" s="14">
        <v>9</v>
      </c>
      <c r="BU770" s="10"/>
      <c r="BV770" s="8">
        <v>4</v>
      </c>
      <c r="BW770" s="59"/>
      <c r="BX770" s="59"/>
      <c r="BY770" s="59"/>
      <c r="BZ770" s="59"/>
      <c r="CA770" s="59"/>
      <c r="CB770" s="221"/>
      <c r="CC770" s="59"/>
      <c r="CD770" s="59">
        <v>1</v>
      </c>
      <c r="CE770" s="317"/>
      <c r="CF770" s="221"/>
      <c r="CG770" s="59"/>
      <c r="CH770" s="59"/>
      <c r="CI770" s="59">
        <v>12</v>
      </c>
      <c r="CJ770" s="59">
        <v>13</v>
      </c>
      <c r="CK770" s="59"/>
      <c r="CL770" s="59"/>
      <c r="CM770" s="59"/>
      <c r="CN770" s="59"/>
      <c r="CO770" s="59"/>
      <c r="CP770" s="59"/>
      <c r="CQ770" s="59"/>
      <c r="CR770" s="221"/>
      <c r="CS770" s="59"/>
      <c r="CT770" s="59">
        <v>7</v>
      </c>
      <c r="CU770" s="221"/>
      <c r="CV770" s="59">
        <v>1</v>
      </c>
      <c r="CW770" s="59"/>
      <c r="CX770" s="59"/>
      <c r="CY770" s="59">
        <v>3</v>
      </c>
      <c r="CZ770" s="59"/>
      <c r="DA770" s="59"/>
      <c r="DB770" s="59">
        <v>9</v>
      </c>
      <c r="DC770" s="59"/>
      <c r="DD770" s="59"/>
      <c r="DE770" s="59"/>
      <c r="DF770" s="59"/>
      <c r="DG770" s="59">
        <v>1</v>
      </c>
      <c r="DH770" s="59">
        <v>1</v>
      </c>
      <c r="DI770" s="59"/>
      <c r="DJ770" s="59"/>
      <c r="DK770" s="59"/>
      <c r="DL770" s="221"/>
      <c r="DM770" s="59"/>
      <c r="DN770" s="59"/>
      <c r="DO770" s="59"/>
      <c r="DP770" s="59"/>
      <c r="DQ770" s="59"/>
      <c r="DR770" s="59"/>
      <c r="DS770" s="59">
        <v>3</v>
      </c>
      <c r="DT770" s="59"/>
      <c r="DU770" s="59"/>
      <c r="DV770" s="38">
        <f t="shared" si="380"/>
        <v>55</v>
      </c>
      <c r="DW770" s="14" t="str">
        <f t="shared" si="379"/>
        <v/>
      </c>
      <c r="DY770" s="316">
        <f t="shared" si="382"/>
        <v>55</v>
      </c>
      <c r="DZ770" s="316" t="str">
        <f t="shared" si="383"/>
        <v/>
      </c>
    </row>
    <row r="771" spans="1:130" s="316" customFormat="1">
      <c r="A771" s="210">
        <v>41409</v>
      </c>
      <c r="B771" s="211"/>
      <c r="C771" s="61">
        <v>1</v>
      </c>
      <c r="D771" s="59">
        <v>31</v>
      </c>
      <c r="E771" s="59">
        <v>1</v>
      </c>
      <c r="F771" s="59">
        <v>4</v>
      </c>
      <c r="G771" s="59">
        <v>1</v>
      </c>
      <c r="H771" s="59">
        <v>1</v>
      </c>
      <c r="I771" s="59">
        <v>0</v>
      </c>
      <c r="J771" s="59">
        <v>12</v>
      </c>
      <c r="K771" s="59">
        <v>0</v>
      </c>
      <c r="L771" s="59">
        <v>0</v>
      </c>
      <c r="M771" s="59">
        <v>0</v>
      </c>
      <c r="N771" s="59">
        <v>0</v>
      </c>
      <c r="O771" s="59">
        <v>3</v>
      </c>
      <c r="P771" s="59">
        <v>2</v>
      </c>
      <c r="Q771" s="59">
        <v>1</v>
      </c>
      <c r="R771" s="59">
        <v>0</v>
      </c>
      <c r="S771" s="35">
        <f>SUM(C771:R771)</f>
        <v>57</v>
      </c>
      <c r="T771" s="59"/>
      <c r="U771" s="59">
        <v>9</v>
      </c>
      <c r="V771" s="59">
        <v>8</v>
      </c>
      <c r="W771" s="59">
        <v>1</v>
      </c>
      <c r="X771" s="62">
        <v>1</v>
      </c>
      <c r="Y771" s="10"/>
      <c r="Z771" s="61">
        <v>385024</v>
      </c>
      <c r="AA771" s="101"/>
      <c r="AB771" s="101"/>
      <c r="AC771" s="61">
        <v>3039232</v>
      </c>
      <c r="AD771" s="59"/>
      <c r="AE771" s="35">
        <f t="shared" si="377"/>
        <v>3039232</v>
      </c>
      <c r="AF771" s="10"/>
      <c r="AG771" s="61">
        <v>213</v>
      </c>
      <c r="AH771" s="59">
        <v>1</v>
      </c>
      <c r="AI771" s="59">
        <v>232</v>
      </c>
      <c r="AJ771" s="62"/>
      <c r="AK771" s="10"/>
      <c r="AL771" s="8"/>
      <c r="AM771" s="10"/>
      <c r="AN771" s="35"/>
      <c r="AO771" s="279"/>
      <c r="AP771" s="279"/>
      <c r="AQ771" s="281"/>
      <c r="AR771" s="59">
        <v>157</v>
      </c>
      <c r="AS771" s="59"/>
      <c r="AT771" s="59"/>
      <c r="AU771" s="59"/>
      <c r="AV771" s="62"/>
      <c r="AW771" s="10"/>
      <c r="AX771" s="326">
        <v>41408</v>
      </c>
      <c r="AY771" s="5">
        <f t="shared" si="385"/>
        <v>-1</v>
      </c>
      <c r="AZ771" s="10"/>
      <c r="BA771" s="365"/>
      <c r="BB771" s="307"/>
      <c r="BC771" s="10"/>
      <c r="BD771" s="10"/>
      <c r="BE771" s="10"/>
      <c r="BF771" s="10"/>
      <c r="BG771" s="5"/>
      <c r="BH771" s="30"/>
      <c r="BI771" s="10"/>
      <c r="BJ771" s="338"/>
      <c r="BK771" s="338"/>
      <c r="BL771" s="320"/>
      <c r="BM771" s="5"/>
      <c r="BN771" s="10"/>
      <c r="BO771" s="8"/>
      <c r="BP771" s="5"/>
      <c r="BQ771" s="10"/>
      <c r="BR771" s="29">
        <v>2013</v>
      </c>
      <c r="BS771" s="64">
        <v>2013</v>
      </c>
      <c r="BT771" s="14">
        <v>10</v>
      </c>
      <c r="BU771" s="10"/>
      <c r="BV771" s="8">
        <v>3</v>
      </c>
      <c r="BW771" s="59">
        <v>1</v>
      </c>
      <c r="BX771" s="59">
        <v>1</v>
      </c>
      <c r="BY771" s="59"/>
      <c r="BZ771" s="59"/>
      <c r="CA771" s="59"/>
      <c r="CB771" s="221"/>
      <c r="CC771" s="59">
        <v>1</v>
      </c>
      <c r="CD771" s="59">
        <v>2</v>
      </c>
      <c r="CE771" s="317"/>
      <c r="CF771" s="221"/>
      <c r="CG771" s="59"/>
      <c r="CH771" s="59"/>
      <c r="CI771" s="59">
        <v>2</v>
      </c>
      <c r="CJ771" s="59">
        <v>3</v>
      </c>
      <c r="CK771" s="59"/>
      <c r="CL771" s="59"/>
      <c r="CM771" s="59"/>
      <c r="CN771" s="59">
        <v>2</v>
      </c>
      <c r="CO771" s="59">
        <v>9</v>
      </c>
      <c r="CP771" s="59"/>
      <c r="CQ771" s="59"/>
      <c r="CR771" s="221"/>
      <c r="CS771" s="59">
        <v>14</v>
      </c>
      <c r="CT771" s="59">
        <v>2</v>
      </c>
      <c r="CU771" s="221"/>
      <c r="CV771" s="59"/>
      <c r="CW771" s="59"/>
      <c r="CX771" s="59"/>
      <c r="CY771" s="59"/>
      <c r="CZ771" s="59"/>
      <c r="DA771" s="59"/>
      <c r="DB771" s="59">
        <v>2</v>
      </c>
      <c r="DC771" s="59"/>
      <c r="DD771" s="59"/>
      <c r="DE771" s="59"/>
      <c r="DF771" s="59"/>
      <c r="DG771" s="59">
        <v>3</v>
      </c>
      <c r="DH771" s="59"/>
      <c r="DI771" s="59">
        <v>7</v>
      </c>
      <c r="DJ771" s="59"/>
      <c r="DK771" s="59"/>
      <c r="DL771" s="221"/>
      <c r="DM771" s="59"/>
      <c r="DN771" s="59"/>
      <c r="DO771" s="59"/>
      <c r="DP771" s="59"/>
      <c r="DQ771" s="59">
        <v>1</v>
      </c>
      <c r="DR771" s="59"/>
      <c r="DS771" s="59">
        <v>4</v>
      </c>
      <c r="DT771" s="59"/>
      <c r="DU771" s="59"/>
      <c r="DV771" s="38">
        <f t="shared" si="380"/>
        <v>57</v>
      </c>
      <c r="DW771" s="14" t="str">
        <f t="shared" si="379"/>
        <v/>
      </c>
      <c r="DY771" s="316">
        <f t="shared" si="382"/>
        <v>57</v>
      </c>
      <c r="DZ771" s="316" t="str">
        <f t="shared" si="383"/>
        <v/>
      </c>
    </row>
    <row r="772" spans="1:130" s="316" customFormat="1">
      <c r="A772" s="210">
        <v>41426</v>
      </c>
      <c r="B772" s="211"/>
      <c r="C772" s="8">
        <v>2</v>
      </c>
      <c r="D772" s="59">
        <v>23</v>
      </c>
      <c r="E772" s="59">
        <v>1</v>
      </c>
      <c r="F772" s="59">
        <v>1</v>
      </c>
      <c r="G772" s="59">
        <v>7</v>
      </c>
      <c r="H772" s="59">
        <v>5</v>
      </c>
      <c r="I772" s="59">
        <v>0</v>
      </c>
      <c r="J772" s="59">
        <v>17</v>
      </c>
      <c r="K772" s="59">
        <v>0</v>
      </c>
      <c r="L772" s="59">
        <v>0</v>
      </c>
      <c r="M772" s="59">
        <v>1</v>
      </c>
      <c r="N772" s="59">
        <v>0</v>
      </c>
      <c r="O772" s="59">
        <v>5</v>
      </c>
      <c r="P772" s="59">
        <v>0</v>
      </c>
      <c r="Q772" s="59">
        <v>0</v>
      </c>
      <c r="R772" s="59">
        <v>0</v>
      </c>
      <c r="S772" s="35">
        <f>SUM(C772:R772)</f>
        <v>62</v>
      </c>
      <c r="T772" s="59"/>
      <c r="U772" s="59">
        <v>12</v>
      </c>
      <c r="V772" s="59">
        <v>9</v>
      </c>
      <c r="W772" s="59">
        <v>0</v>
      </c>
      <c r="X772" s="62">
        <v>0</v>
      </c>
      <c r="Y772" s="10"/>
      <c r="Z772" s="61">
        <v>372736</v>
      </c>
      <c r="AA772" s="101"/>
      <c r="AB772" s="101"/>
      <c r="AC772" s="61">
        <v>16270312</v>
      </c>
      <c r="AD772" s="59"/>
      <c r="AE772" s="35">
        <f t="shared" si="377"/>
        <v>16270312</v>
      </c>
      <c r="AF772" s="10"/>
      <c r="AG772" s="8">
        <v>101</v>
      </c>
      <c r="AH772" s="59">
        <v>48</v>
      </c>
      <c r="AI772" s="59">
        <v>166</v>
      </c>
      <c r="AJ772" s="5"/>
      <c r="AK772" s="10"/>
      <c r="AL772" s="8"/>
      <c r="AM772" s="10"/>
      <c r="AN772" s="35"/>
      <c r="AO772" s="279"/>
      <c r="AP772" s="279"/>
      <c r="AQ772" s="281"/>
      <c r="AR772" s="59">
        <v>156</v>
      </c>
      <c r="AS772" s="59">
        <v>131</v>
      </c>
      <c r="AT772" s="59">
        <v>198</v>
      </c>
      <c r="AU772" s="59">
        <v>24</v>
      </c>
      <c r="AV772" s="62">
        <v>409</v>
      </c>
      <c r="AW772" s="10"/>
      <c r="AX772" s="326">
        <v>41424</v>
      </c>
      <c r="AY772" s="5">
        <f t="shared" si="385"/>
        <v>-2</v>
      </c>
      <c r="AZ772" s="10"/>
      <c r="BA772" s="365">
        <v>2010</v>
      </c>
      <c r="BB772" s="307">
        <v>74644264</v>
      </c>
      <c r="BC772" s="10"/>
      <c r="BD772" s="10">
        <v>31060249</v>
      </c>
      <c r="BE772" s="59">
        <v>69</v>
      </c>
      <c r="BF772" s="59">
        <v>4</v>
      </c>
      <c r="BG772" s="62">
        <v>0</v>
      </c>
      <c r="BH772" s="30">
        <f>SUM(BE772:BG772)</f>
        <v>73</v>
      </c>
      <c r="BI772" s="10">
        <v>2962840</v>
      </c>
      <c r="BJ772" s="338">
        <v>41435</v>
      </c>
      <c r="BK772" s="338">
        <v>41463</v>
      </c>
      <c r="BL772" s="320">
        <f>BK772-BJ772</f>
        <v>28</v>
      </c>
      <c r="BM772" s="5"/>
      <c r="BN772" s="10"/>
      <c r="BO772" s="8"/>
      <c r="BP772" s="5">
        <v>167</v>
      </c>
      <c r="BQ772" s="10"/>
      <c r="BR772" s="29">
        <v>2013</v>
      </c>
      <c r="BS772" s="64">
        <v>2013</v>
      </c>
      <c r="BT772" s="14">
        <v>11</v>
      </c>
      <c r="BU772" s="10"/>
      <c r="BV772" s="8">
        <v>1</v>
      </c>
      <c r="BW772" s="10">
        <v>3</v>
      </c>
      <c r="BX772" s="59">
        <v>6</v>
      </c>
      <c r="BY772" s="10"/>
      <c r="BZ772" s="10"/>
      <c r="CA772" s="10"/>
      <c r="CB772" s="221"/>
      <c r="CC772" s="10">
        <v>1</v>
      </c>
      <c r="CD772" s="10"/>
      <c r="CE772" s="317"/>
      <c r="CF772" s="221"/>
      <c r="CG772" s="10"/>
      <c r="CH772" s="10"/>
      <c r="CI772" s="59">
        <v>8</v>
      </c>
      <c r="CJ772" s="59">
        <v>11</v>
      </c>
      <c r="CK772" s="10"/>
      <c r="CL772" s="10"/>
      <c r="CM772" s="10"/>
      <c r="CN772" s="10"/>
      <c r="CO772" s="59">
        <v>5</v>
      </c>
      <c r="CP772" s="10"/>
      <c r="CQ772" s="10"/>
      <c r="CR772" s="221"/>
      <c r="CS772" s="10"/>
      <c r="CT772" s="10"/>
      <c r="CU772" s="221"/>
      <c r="CV772" s="59">
        <v>4</v>
      </c>
      <c r="CW772" s="10"/>
      <c r="CX772" s="10"/>
      <c r="CY772" s="10">
        <v>2</v>
      </c>
      <c r="CZ772" s="10"/>
      <c r="DA772" s="10"/>
      <c r="DB772" s="59">
        <v>11</v>
      </c>
      <c r="DC772" s="10"/>
      <c r="DD772" s="10"/>
      <c r="DE772" s="10"/>
      <c r="DF772" s="10"/>
      <c r="DG772" s="59">
        <v>7</v>
      </c>
      <c r="DH772" s="10"/>
      <c r="DI772" s="59">
        <v>2</v>
      </c>
      <c r="DJ772" s="10"/>
      <c r="DK772" s="10"/>
      <c r="DL772" s="221"/>
      <c r="DM772" s="10"/>
      <c r="DN772" s="10"/>
      <c r="DO772" s="10">
        <v>1</v>
      </c>
      <c r="DP772" s="10"/>
      <c r="DQ772" s="10"/>
      <c r="DR772" s="10"/>
      <c r="DS772" s="10"/>
      <c r="DT772" s="10"/>
      <c r="DU772" s="10"/>
      <c r="DV772" s="38">
        <f t="shared" si="380"/>
        <v>62</v>
      </c>
      <c r="DW772" s="14" t="str">
        <f t="shared" si="379"/>
        <v/>
      </c>
      <c r="DY772" s="316">
        <f t="shared" si="382"/>
        <v>62</v>
      </c>
      <c r="DZ772" s="316" t="str">
        <f t="shared" si="383"/>
        <v/>
      </c>
    </row>
    <row r="773" spans="1:130" s="316" customFormat="1">
      <c r="A773" s="210">
        <v>41440</v>
      </c>
      <c r="B773" s="211"/>
      <c r="C773" s="8">
        <v>0</v>
      </c>
      <c r="D773" s="59">
        <v>14</v>
      </c>
      <c r="E773" s="59">
        <v>0</v>
      </c>
      <c r="F773" s="59">
        <v>0</v>
      </c>
      <c r="G773" s="59">
        <v>1</v>
      </c>
      <c r="H773" s="59">
        <v>1</v>
      </c>
      <c r="I773" s="59">
        <v>0</v>
      </c>
      <c r="J773" s="59">
        <v>25</v>
      </c>
      <c r="K773" s="59">
        <v>0</v>
      </c>
      <c r="L773" s="59">
        <v>0</v>
      </c>
      <c r="M773" s="59">
        <v>0</v>
      </c>
      <c r="N773" s="59">
        <v>0</v>
      </c>
      <c r="O773" s="59">
        <v>1</v>
      </c>
      <c r="P773" s="59">
        <v>1</v>
      </c>
      <c r="Q773" s="59">
        <v>0</v>
      </c>
      <c r="R773" s="59">
        <v>0</v>
      </c>
      <c r="S773" s="35">
        <f>SUM(C773:R773)</f>
        <v>43</v>
      </c>
      <c r="T773" s="59"/>
      <c r="U773" s="59">
        <v>7</v>
      </c>
      <c r="V773" s="59">
        <v>6</v>
      </c>
      <c r="W773" s="59">
        <v>0</v>
      </c>
      <c r="X773" s="5">
        <v>1</v>
      </c>
      <c r="Y773" s="10"/>
      <c r="Z773" s="61">
        <v>311296</v>
      </c>
      <c r="AA773" s="101"/>
      <c r="AB773" s="101"/>
      <c r="AC773" s="61">
        <v>3191488</v>
      </c>
      <c r="AD773" s="59"/>
      <c r="AE773" s="35">
        <f t="shared" si="377"/>
        <v>3191488</v>
      </c>
      <c r="AF773" s="10"/>
      <c r="AG773" s="8">
        <v>54</v>
      </c>
      <c r="AH773" s="59">
        <v>52</v>
      </c>
      <c r="AI773" s="59">
        <v>124</v>
      </c>
      <c r="AJ773" s="5"/>
      <c r="AK773" s="10"/>
      <c r="AL773" s="8"/>
      <c r="AM773" s="10"/>
      <c r="AN773" s="35"/>
      <c r="AO773" s="279"/>
      <c r="AP773" s="279"/>
      <c r="AQ773" s="281"/>
      <c r="AR773" s="59">
        <v>155</v>
      </c>
      <c r="AS773" s="59">
        <v>134</v>
      </c>
      <c r="AT773" s="59">
        <v>199</v>
      </c>
      <c r="AU773" s="59">
        <v>25</v>
      </c>
      <c r="AV773" s="62">
        <v>413</v>
      </c>
      <c r="AW773" s="10"/>
      <c r="AX773" s="326">
        <v>41439</v>
      </c>
      <c r="AY773" s="5">
        <f t="shared" si="385"/>
        <v>-1</v>
      </c>
      <c r="AZ773" s="10"/>
      <c r="BA773" s="56"/>
      <c r="BB773" s="57"/>
      <c r="BC773" s="57"/>
      <c r="BD773" s="57"/>
      <c r="BE773" s="57"/>
      <c r="BF773" s="57"/>
      <c r="BG773" s="58"/>
      <c r="BH773" s="60"/>
      <c r="BI773" s="10"/>
      <c r="BJ773" s="338"/>
      <c r="BK773" s="338"/>
      <c r="BL773" s="320"/>
      <c r="BM773" s="5"/>
      <c r="BN773" s="10"/>
      <c r="BO773" s="8"/>
      <c r="BP773" s="5"/>
      <c r="BQ773" s="10"/>
      <c r="BR773" s="29">
        <v>2013</v>
      </c>
      <c r="BS773" s="64">
        <v>2013</v>
      </c>
      <c r="BT773" s="14">
        <v>12</v>
      </c>
      <c r="BU773" s="10"/>
      <c r="BV773" s="8">
        <v>5</v>
      </c>
      <c r="BW773" s="59">
        <v>1</v>
      </c>
      <c r="BX773" s="59">
        <v>1</v>
      </c>
      <c r="BY773" s="10"/>
      <c r="BZ773" s="10"/>
      <c r="CA773" s="10"/>
      <c r="CB773" s="221"/>
      <c r="CC773" s="10"/>
      <c r="CD773" s="59">
        <v>4</v>
      </c>
      <c r="CE773" s="317"/>
      <c r="CF773" s="221"/>
      <c r="CG773" s="10"/>
      <c r="CH773" s="10"/>
      <c r="CI773" s="10"/>
      <c r="CJ773" s="10"/>
      <c r="CK773" s="10"/>
      <c r="CL773" s="10"/>
      <c r="CM773" s="10"/>
      <c r="CN773" s="10">
        <v>2</v>
      </c>
      <c r="CO773" s="59">
        <v>5</v>
      </c>
      <c r="CP773" s="10"/>
      <c r="CQ773" s="10"/>
      <c r="CR773" s="221"/>
      <c r="CS773" s="10"/>
      <c r="CT773" s="59">
        <v>7</v>
      </c>
      <c r="CU773" s="221"/>
      <c r="CV773" s="10"/>
      <c r="CW773" s="10"/>
      <c r="CX773" s="10"/>
      <c r="CY773" s="10"/>
      <c r="CZ773" s="10"/>
      <c r="DA773" s="10"/>
      <c r="DB773" s="59">
        <v>2</v>
      </c>
      <c r="DC773" s="10"/>
      <c r="DD773" s="10">
        <v>5</v>
      </c>
      <c r="DE773" s="10"/>
      <c r="DF773" s="10"/>
      <c r="DG773" s="59">
        <v>1</v>
      </c>
      <c r="DH773" s="59">
        <v>1</v>
      </c>
      <c r="DI773" s="10"/>
      <c r="DJ773" s="10"/>
      <c r="DK773" s="10"/>
      <c r="DL773" s="221"/>
      <c r="DM773" s="10"/>
      <c r="DN773" s="10"/>
      <c r="DO773" s="10"/>
      <c r="DP773" s="10"/>
      <c r="DQ773" s="10"/>
      <c r="DR773" s="10"/>
      <c r="DS773" s="10">
        <v>9</v>
      </c>
      <c r="DT773" s="10"/>
      <c r="DU773" s="10"/>
      <c r="DV773" s="38">
        <f t="shared" si="380"/>
        <v>43</v>
      </c>
      <c r="DW773" s="14" t="str">
        <f t="shared" si="379"/>
        <v/>
      </c>
      <c r="DY773" s="316">
        <f t="shared" si="382"/>
        <v>43</v>
      </c>
      <c r="DZ773" s="316" t="str">
        <f t="shared" si="383"/>
        <v/>
      </c>
    </row>
    <row r="774" spans="1:130" s="6" customFormat="1" ht="12" thickBot="1">
      <c r="A774" s="212" t="s">
        <v>291</v>
      </c>
      <c r="B774" s="83"/>
      <c r="C774" s="52">
        <f t="shared" ref="C774:H774" si="386">SUM(C750:C773)</f>
        <v>79</v>
      </c>
      <c r="D774" s="53">
        <f t="shared" si="386"/>
        <v>433</v>
      </c>
      <c r="E774" s="53">
        <f t="shared" si="386"/>
        <v>55</v>
      </c>
      <c r="F774" s="53">
        <f t="shared" si="386"/>
        <v>16</v>
      </c>
      <c r="G774" s="53">
        <f t="shared" si="386"/>
        <v>51</v>
      </c>
      <c r="H774" s="53">
        <f t="shared" si="386"/>
        <v>21</v>
      </c>
      <c r="I774" s="53">
        <f>SUM(I750:I773)</f>
        <v>0</v>
      </c>
      <c r="J774" s="53">
        <f t="shared" ref="J774:N774" si="387">SUM(J750:J773)</f>
        <v>549</v>
      </c>
      <c r="K774" s="53">
        <f t="shared" si="387"/>
        <v>39</v>
      </c>
      <c r="L774" s="53">
        <f t="shared" si="387"/>
        <v>5</v>
      </c>
      <c r="M774" s="53">
        <f t="shared" si="387"/>
        <v>1</v>
      </c>
      <c r="N774" s="53">
        <f t="shared" si="387"/>
        <v>0</v>
      </c>
      <c r="O774" s="53">
        <f>SUM(O750:O773)</f>
        <v>146</v>
      </c>
      <c r="P774" s="53">
        <f t="shared" ref="P774:X774" si="388">SUM(P750:P773)</f>
        <v>25</v>
      </c>
      <c r="Q774" s="53">
        <f t="shared" si="388"/>
        <v>2</v>
      </c>
      <c r="R774" s="53">
        <f t="shared" si="388"/>
        <v>0</v>
      </c>
      <c r="S774" s="55">
        <f t="shared" si="388"/>
        <v>1422</v>
      </c>
      <c r="T774" s="53">
        <f t="shared" si="388"/>
        <v>0</v>
      </c>
      <c r="U774" s="53">
        <f t="shared" si="388"/>
        <v>207</v>
      </c>
      <c r="V774" s="53">
        <f t="shared" si="388"/>
        <v>174</v>
      </c>
      <c r="W774" s="53">
        <f t="shared" si="388"/>
        <v>3</v>
      </c>
      <c r="X774" s="54">
        <f t="shared" si="388"/>
        <v>5</v>
      </c>
      <c r="Z774" s="52">
        <f>SUM(Z750:Z773)</f>
        <v>9585134</v>
      </c>
      <c r="AA774" s="53">
        <f>SUM(AA750:AA773)</f>
        <v>0</v>
      </c>
      <c r="AB774" s="53"/>
      <c r="AC774" s="52">
        <f>SUM(AC750:AC773)</f>
        <v>57816627</v>
      </c>
      <c r="AD774" s="53">
        <f>SUM(AD750:AD773)</f>
        <v>0</v>
      </c>
      <c r="AE774" s="55">
        <f>SUM(AE750:AE773)</f>
        <v>57816627</v>
      </c>
      <c r="AG774" s="52">
        <f>SUM(AG750:AG773)</f>
        <v>2417</v>
      </c>
      <c r="AH774" s="53">
        <f>SUM(AH750:AH773)</f>
        <v>1263</v>
      </c>
      <c r="AI774" s="53">
        <f>SUM(AI750:AI773)</f>
        <v>4063</v>
      </c>
      <c r="AJ774" s="54">
        <f>SUM(AJ750:AJ773)</f>
        <v>0</v>
      </c>
      <c r="AL774" s="52">
        <f t="shared" ref="AL774:AN774" si="389">SUM(AL750:AL773)</f>
        <v>0</v>
      </c>
      <c r="AM774" s="53">
        <f t="shared" si="389"/>
        <v>130</v>
      </c>
      <c r="AN774" s="55">
        <f t="shared" si="389"/>
        <v>130</v>
      </c>
      <c r="AO774" s="283"/>
      <c r="AP774" s="283"/>
      <c r="AQ774" s="284"/>
      <c r="AR774" s="53">
        <f t="shared" ref="AR774:AV774" si="390">SUM(AR750:AR773)</f>
        <v>3772</v>
      </c>
      <c r="AS774" s="53">
        <f t="shared" si="390"/>
        <v>2213</v>
      </c>
      <c r="AT774" s="53">
        <f t="shared" si="390"/>
        <v>3492</v>
      </c>
      <c r="AU774" s="53">
        <f t="shared" si="390"/>
        <v>407</v>
      </c>
      <c r="AV774" s="54">
        <f t="shared" si="390"/>
        <v>7015</v>
      </c>
      <c r="AX774" s="329"/>
      <c r="AY774" s="54"/>
      <c r="BA774" s="52">
        <f t="shared" ref="BA774:BI774" si="391">SUM(BA750:BA773)</f>
        <v>23983</v>
      </c>
      <c r="BB774" s="53">
        <f t="shared" si="391"/>
        <v>881481999</v>
      </c>
      <c r="BC774" s="53">
        <f t="shared" si="391"/>
        <v>0</v>
      </c>
      <c r="BD774" s="53"/>
      <c r="BE774" s="53">
        <f t="shared" si="391"/>
        <v>1124</v>
      </c>
      <c r="BF774" s="53">
        <f t="shared" si="391"/>
        <v>88</v>
      </c>
      <c r="BG774" s="53">
        <f t="shared" si="391"/>
        <v>58</v>
      </c>
      <c r="BH774" s="55">
        <f>SUM(BH750:BH773)</f>
        <v>1270</v>
      </c>
      <c r="BI774" s="53">
        <f t="shared" si="391"/>
        <v>50829832</v>
      </c>
      <c r="BJ774" s="339"/>
      <c r="BK774" s="339"/>
      <c r="BL774" s="304"/>
      <c r="BM774" s="54">
        <f t="shared" ref="BM774" si="392">SUM(BM750:BM773)</f>
        <v>0</v>
      </c>
      <c r="BO774" s="52">
        <f>SUM(BO750:BO773)</f>
        <v>0</v>
      </c>
      <c r="BP774" s="54">
        <f>SUM(BP750:BP773)</f>
        <v>2012</v>
      </c>
      <c r="BR774" s="81" t="s">
        <v>302</v>
      </c>
      <c r="BS774" s="80"/>
      <c r="BT774" s="82"/>
      <c r="BV774" s="52">
        <f t="shared" ref="BV774:BW774" si="393">SUM(BV750:BV773)</f>
        <v>49</v>
      </c>
      <c r="BW774" s="53">
        <f t="shared" si="393"/>
        <v>22</v>
      </c>
      <c r="BX774" s="53">
        <f t="shared" ref="BX774:DU774" si="394">SUM(BX750:BX773)</f>
        <v>24</v>
      </c>
      <c r="BY774" s="53">
        <f t="shared" si="394"/>
        <v>0</v>
      </c>
      <c r="BZ774" s="53">
        <f t="shared" si="394"/>
        <v>3</v>
      </c>
      <c r="CA774" s="53">
        <f t="shared" si="394"/>
        <v>2</v>
      </c>
      <c r="CB774" s="53">
        <f t="shared" si="394"/>
        <v>0</v>
      </c>
      <c r="CC774" s="53">
        <f t="shared" si="394"/>
        <v>2</v>
      </c>
      <c r="CD774" s="53">
        <f t="shared" si="394"/>
        <v>75</v>
      </c>
      <c r="CE774" s="53">
        <f t="shared" si="394"/>
        <v>19</v>
      </c>
      <c r="CF774" s="53">
        <f t="shared" si="394"/>
        <v>0</v>
      </c>
      <c r="CG774" s="53">
        <f t="shared" si="394"/>
        <v>3</v>
      </c>
      <c r="CH774" s="53">
        <f t="shared" si="394"/>
        <v>5</v>
      </c>
      <c r="CI774" s="53">
        <f t="shared" si="394"/>
        <v>149</v>
      </c>
      <c r="CJ774" s="53">
        <f t="shared" si="394"/>
        <v>271</v>
      </c>
      <c r="CK774" s="53">
        <f t="shared" si="394"/>
        <v>0</v>
      </c>
      <c r="CL774" s="53">
        <f t="shared" si="394"/>
        <v>0</v>
      </c>
      <c r="CM774" s="53">
        <f t="shared" si="394"/>
        <v>28</v>
      </c>
      <c r="CN774" s="53">
        <f t="shared" si="394"/>
        <v>16</v>
      </c>
      <c r="CO774" s="53">
        <f>SUM(CO750:CO773)</f>
        <v>164</v>
      </c>
      <c r="CP774" s="53">
        <f t="shared" si="394"/>
        <v>1</v>
      </c>
      <c r="CQ774" s="53">
        <f t="shared" si="394"/>
        <v>12</v>
      </c>
      <c r="CR774" s="53">
        <f t="shared" si="394"/>
        <v>0</v>
      </c>
      <c r="CS774" s="53">
        <f t="shared" si="394"/>
        <v>14</v>
      </c>
      <c r="CT774" s="53">
        <f t="shared" si="394"/>
        <v>91</v>
      </c>
      <c r="CU774" s="53">
        <f t="shared" si="394"/>
        <v>0</v>
      </c>
      <c r="CV774" s="53">
        <f t="shared" si="394"/>
        <v>53</v>
      </c>
      <c r="CW774" s="53">
        <f t="shared" si="394"/>
        <v>0</v>
      </c>
      <c r="CX774" s="53">
        <f t="shared" si="394"/>
        <v>3</v>
      </c>
      <c r="CY774" s="53">
        <f t="shared" si="394"/>
        <v>45</v>
      </c>
      <c r="CZ774" s="53">
        <f t="shared" si="394"/>
        <v>0</v>
      </c>
      <c r="DA774" s="53">
        <f t="shared" si="394"/>
        <v>2</v>
      </c>
      <c r="DB774" s="53">
        <f t="shared" si="394"/>
        <v>112</v>
      </c>
      <c r="DC774" s="53">
        <f t="shared" si="394"/>
        <v>42</v>
      </c>
      <c r="DD774" s="53">
        <f t="shared" si="394"/>
        <v>8</v>
      </c>
      <c r="DE774" s="53">
        <f t="shared" si="394"/>
        <v>0</v>
      </c>
      <c r="DF774" s="53">
        <f t="shared" si="394"/>
        <v>0</v>
      </c>
      <c r="DG774" s="53">
        <f t="shared" si="394"/>
        <v>42</v>
      </c>
      <c r="DH774" s="53">
        <f t="shared" si="394"/>
        <v>21</v>
      </c>
      <c r="DI774" s="53">
        <f t="shared" si="394"/>
        <v>24</v>
      </c>
      <c r="DJ774" s="53">
        <f t="shared" si="394"/>
        <v>12</v>
      </c>
      <c r="DK774" s="53">
        <f t="shared" si="394"/>
        <v>1</v>
      </c>
      <c r="DL774" s="53">
        <f t="shared" si="394"/>
        <v>0</v>
      </c>
      <c r="DM774" s="53">
        <f t="shared" si="394"/>
        <v>18</v>
      </c>
      <c r="DN774" s="53">
        <f t="shared" si="394"/>
        <v>3</v>
      </c>
      <c r="DO774" s="53">
        <f t="shared" si="394"/>
        <v>27</v>
      </c>
      <c r="DP774" s="53">
        <f t="shared" si="394"/>
        <v>0</v>
      </c>
      <c r="DQ774" s="53">
        <f t="shared" si="394"/>
        <v>2</v>
      </c>
      <c r="DR774" s="53">
        <f t="shared" si="394"/>
        <v>0</v>
      </c>
      <c r="DS774" s="53">
        <f t="shared" si="394"/>
        <v>57</v>
      </c>
      <c r="DT774" s="53">
        <f t="shared" si="394"/>
        <v>0</v>
      </c>
      <c r="DU774" s="53">
        <f t="shared" si="394"/>
        <v>0</v>
      </c>
      <c r="DV774" s="54">
        <f t="shared" si="380"/>
        <v>1422</v>
      </c>
      <c r="DW774" s="48"/>
    </row>
    <row r="775" spans="1:130" s="6" customFormat="1" ht="12" thickTop="1">
      <c r="A775" s="213" t="s">
        <v>292</v>
      </c>
      <c r="B775" s="24"/>
      <c r="C775" s="39">
        <f t="shared" ref="C775:H775" si="395">ROUND(IF(ISERROR(AVERAGE(C750:C773)),0,AVERAGE(C750:C773)),0)</f>
        <v>3</v>
      </c>
      <c r="D775" s="24">
        <f t="shared" si="395"/>
        <v>18</v>
      </c>
      <c r="E775" s="24">
        <f t="shared" si="395"/>
        <v>2</v>
      </c>
      <c r="F775" s="24">
        <f t="shared" si="395"/>
        <v>1</v>
      </c>
      <c r="G775" s="24">
        <f t="shared" si="395"/>
        <v>2</v>
      </c>
      <c r="H775" s="24">
        <f t="shared" si="395"/>
        <v>1</v>
      </c>
      <c r="I775" s="24">
        <f>ROUND(IF(ISERROR(AVERAGE(I750:I773)),0,AVERAGE(I750:I773)),0)</f>
        <v>0</v>
      </c>
      <c r="J775" s="24">
        <f t="shared" ref="J775:N775" si="396">ROUND(IF(ISERROR(AVERAGE(J750:J773)),0,AVERAGE(J750:J773)),0)</f>
        <v>23</v>
      </c>
      <c r="K775" s="24">
        <f t="shared" si="396"/>
        <v>2</v>
      </c>
      <c r="L775" s="24">
        <f t="shared" si="396"/>
        <v>0</v>
      </c>
      <c r="M775" s="24">
        <f t="shared" si="396"/>
        <v>0</v>
      </c>
      <c r="N775" s="24">
        <f t="shared" si="396"/>
        <v>0</v>
      </c>
      <c r="O775" s="24">
        <f>ROUND(IF(ISERROR(AVERAGE(O750:O773)),0,AVERAGE(O750:O773)),0)</f>
        <v>6</v>
      </c>
      <c r="P775" s="24">
        <f t="shared" ref="P775:R775" si="397">ROUND(IF(ISERROR(AVERAGE(P750:P773)),0,AVERAGE(P750:P773)),0)</f>
        <v>1</v>
      </c>
      <c r="Q775" s="24">
        <f t="shared" si="397"/>
        <v>0</v>
      </c>
      <c r="R775" s="24">
        <f t="shared" si="397"/>
        <v>0</v>
      </c>
      <c r="S775" s="31">
        <f>SUM(C775:R775)</f>
        <v>59</v>
      </c>
      <c r="T775" s="24">
        <f>ROUND(IF(ISERROR(AVERAGE(T750:T773)),0,AVERAGE(T750:T773)),0)</f>
        <v>0</v>
      </c>
      <c r="U775" s="24">
        <f>ROUND(IF(ISERROR(AVERAGE(U750:U773)),0,AVERAGE(U750:U773)),0)</f>
        <v>9</v>
      </c>
      <c r="V775" s="24">
        <f>ROUND(IF(ISERROR(AVERAGE(V750:V773)),0,AVERAGE(V750:V773)),0)</f>
        <v>7</v>
      </c>
      <c r="W775" s="24">
        <f>ROUND(IF(ISERROR(AVERAGE(W750:W773)),0,AVERAGE(W750:W773)),0)</f>
        <v>0</v>
      </c>
      <c r="X775" s="40">
        <f>ROUND(IF(ISERROR(AVERAGE(X750:X773)),0,AVERAGE(X750:X773)),0)</f>
        <v>0</v>
      </c>
      <c r="Z775" s="39">
        <f>ROUND(IF(ISERROR(AVERAGE(Z750:Z773)),0,AVERAGE(Z750:Z773)),0)</f>
        <v>399381</v>
      </c>
      <c r="AA775" s="24">
        <f>ROUND(IF(ISERROR(AVERAGE(AA750:AA773)),0,AVERAGE(AA750:AA773)),0)</f>
        <v>0</v>
      </c>
      <c r="AB775" s="24"/>
      <c r="AC775" s="39">
        <f>ROUND(IF(ISERROR(AVERAGE(AC750:AC773)),0,AVERAGE(AC750:AC773)),0)</f>
        <v>2409026</v>
      </c>
      <c r="AD775" s="24">
        <f>ROUND(IF(ISERROR(AVERAGE(AD750:AD773)),0,AVERAGE(AD750:AD773)),0)</f>
        <v>0</v>
      </c>
      <c r="AE775" s="31">
        <f>SUM(AC775:AD775)</f>
        <v>2409026</v>
      </c>
      <c r="AG775" s="39">
        <f>ROUND(IF(ISERROR(AVERAGE(AG750:AG773)),0,AVERAGE(AG750:AG773)),0)</f>
        <v>101</v>
      </c>
      <c r="AH775" s="24">
        <f>ROUND(IF(ISERROR(AVERAGE(AH750:AH773)),0,AVERAGE(AH750:AH773)),0)</f>
        <v>53</v>
      </c>
      <c r="AI775" s="24">
        <f>ROUND(IF(ISERROR(AVERAGE(AI750:AI773)),0,AVERAGE(AI750:AI773)),0)</f>
        <v>169</v>
      </c>
      <c r="AJ775" s="40">
        <f>ROUND(IF(ISERROR(AVERAGE(AJ750:AJ773)),0,AVERAGE(AJ750:AJ773)),0)</f>
        <v>0</v>
      </c>
      <c r="AL775" s="39">
        <f>ROUND(IF(ISERROR(AVERAGE(AL750:AL773)),0,AVERAGE(AL750:AL773)),0)</f>
        <v>0</v>
      </c>
      <c r="AM775" s="24">
        <f>ROUND(IF(ISERROR(AVERAGE(AM750:AM773)),0,AVERAGE(AM750:AM773)),0)</f>
        <v>33</v>
      </c>
      <c r="AN775" s="31">
        <f>SUM(AL775:AM775)</f>
        <v>33</v>
      </c>
      <c r="AO775" s="285"/>
      <c r="AP775" s="285"/>
      <c r="AQ775" s="281"/>
      <c r="AR775" s="24">
        <f>ROUND(IF(ISERROR(AVERAGE(AR750:AR773)),0,AVERAGE(AR750:AR773)),0)</f>
        <v>157</v>
      </c>
      <c r="AS775" s="24">
        <f>ROUND(IF(ISERROR(AVERAGE(AS750:AS773)),0,AVERAGE(AS750:AS773)),0)</f>
        <v>123</v>
      </c>
      <c r="AT775" s="24">
        <f>ROUND(IF(ISERROR(AVERAGE(AT750:AT773)),0,AVERAGE(AT750:AT773)),0)</f>
        <v>194</v>
      </c>
      <c r="AU775" s="24">
        <f>ROUND(IF(ISERROR(AVERAGE(AU750:AU773)),0,AVERAGE(AU750:AU773)),0)</f>
        <v>23</v>
      </c>
      <c r="AV775" s="40">
        <f>ROUND(IF(ISERROR(AVERAGE(AV750:AV773)),0,AVERAGE(AV750:AV773)),0)</f>
        <v>390</v>
      </c>
      <c r="AX775" s="330"/>
      <c r="AY775" s="40">
        <f>ROUND(IF(ISERROR(AVERAGE(AY750:AY773)),0,AVERAGE(AY750:AY773)),0)</f>
        <v>-2</v>
      </c>
      <c r="BA775" s="39">
        <f t="shared" ref="BA775:BI775" si="398">ROUND(IF(ISERROR(AVERAGE(BA750:BA773)),0,AVERAGE(BA750:BA773)),0)</f>
        <v>1999</v>
      </c>
      <c r="BB775" s="24">
        <f t="shared" si="398"/>
        <v>73456833</v>
      </c>
      <c r="BC775" s="24">
        <f t="shared" si="398"/>
        <v>0</v>
      </c>
      <c r="BD775" s="24"/>
      <c r="BE775" s="24">
        <f t="shared" si="398"/>
        <v>94</v>
      </c>
      <c r="BF775" s="24">
        <f t="shared" si="398"/>
        <v>7</v>
      </c>
      <c r="BG775" s="24">
        <f t="shared" si="398"/>
        <v>5</v>
      </c>
      <c r="BH775" s="31">
        <f>ROUND(IF(ISERROR(AVERAGE(BH750:BH773)),0,AVERAGE(BH750:BH773)),0)</f>
        <v>106</v>
      </c>
      <c r="BI775" s="24">
        <f t="shared" si="398"/>
        <v>4235819</v>
      </c>
      <c r="BJ775" s="340"/>
      <c r="BK775" s="340"/>
      <c r="BL775" s="305">
        <f>AVERAGE(BL750:BL773)</f>
        <v>9.8333333333333339</v>
      </c>
      <c r="BM775" s="40">
        <f t="shared" ref="BM775" si="399">ROUND(IF(ISERROR(AVERAGE(BM750:BM773)),0,AVERAGE(BM750:BM773)),0)</f>
        <v>0</v>
      </c>
      <c r="BO775" s="39">
        <f>ROUND(IF(ISERROR(AVERAGE(BO750:BO773)),0,AVERAGE(BO750:BO773)),0)</f>
        <v>0</v>
      </c>
      <c r="BP775" s="40">
        <f>ROUND(IF(ISERROR(AVERAGE(BP750:BP773)),0,AVERAGE(BP750:BP773)),0)</f>
        <v>168</v>
      </c>
      <c r="BR775" s="65" t="s">
        <v>303</v>
      </c>
      <c r="BS775" s="19"/>
      <c r="BT775" s="14"/>
      <c r="BV775" s="39">
        <f t="shared" ref="BV775:BW775" si="400">ROUND(IF(ISERROR(AVERAGE(BV750:BV773)),0,AVERAGE(BV750:BV773)),0)</f>
        <v>4</v>
      </c>
      <c r="BW775" s="24">
        <f t="shared" si="400"/>
        <v>2</v>
      </c>
      <c r="BX775" s="24">
        <f t="shared" ref="BX775:DU775" si="401">ROUND(IF(ISERROR(AVERAGE(BX750:BX773)),0,AVERAGE(BX750:BX773)),0)</f>
        <v>5</v>
      </c>
      <c r="BY775" s="24">
        <f t="shared" si="401"/>
        <v>0</v>
      </c>
      <c r="BZ775" s="24">
        <f t="shared" si="401"/>
        <v>3</v>
      </c>
      <c r="CA775" s="24">
        <f t="shared" si="401"/>
        <v>1</v>
      </c>
      <c r="CB775" s="24">
        <f t="shared" si="401"/>
        <v>0</v>
      </c>
      <c r="CC775" s="24">
        <f t="shared" si="401"/>
        <v>1</v>
      </c>
      <c r="CD775" s="24">
        <f t="shared" si="401"/>
        <v>4</v>
      </c>
      <c r="CE775" s="24">
        <f t="shared" si="401"/>
        <v>10</v>
      </c>
      <c r="CF775" s="24">
        <f t="shared" si="401"/>
        <v>0</v>
      </c>
      <c r="CG775" s="24">
        <f t="shared" si="401"/>
        <v>2</v>
      </c>
      <c r="CH775" s="24">
        <f t="shared" si="401"/>
        <v>2</v>
      </c>
      <c r="CI775" s="24">
        <f t="shared" si="401"/>
        <v>9</v>
      </c>
      <c r="CJ775" s="24">
        <f t="shared" si="401"/>
        <v>14</v>
      </c>
      <c r="CK775" s="24">
        <f t="shared" si="401"/>
        <v>0</v>
      </c>
      <c r="CL775" s="24">
        <f t="shared" si="401"/>
        <v>0</v>
      </c>
      <c r="CM775" s="24">
        <f t="shared" si="401"/>
        <v>6</v>
      </c>
      <c r="CN775" s="24">
        <f t="shared" si="401"/>
        <v>2</v>
      </c>
      <c r="CO775" s="24">
        <f>ROUND(IF(ISERROR(AVERAGE(CO750:CO773)),0,AVERAGE(CO750:CO773)),0)</f>
        <v>7</v>
      </c>
      <c r="CP775" s="24">
        <f t="shared" si="401"/>
        <v>1</v>
      </c>
      <c r="CQ775" s="24">
        <f t="shared" si="401"/>
        <v>12</v>
      </c>
      <c r="CR775" s="24">
        <f t="shared" si="401"/>
        <v>0</v>
      </c>
      <c r="CS775" s="24">
        <f t="shared" si="401"/>
        <v>14</v>
      </c>
      <c r="CT775" s="24">
        <f t="shared" si="401"/>
        <v>5</v>
      </c>
      <c r="CU775" s="24">
        <f t="shared" si="401"/>
        <v>0</v>
      </c>
      <c r="CV775" s="24">
        <f t="shared" si="401"/>
        <v>3</v>
      </c>
      <c r="CW775" s="24">
        <f t="shared" si="401"/>
        <v>0</v>
      </c>
      <c r="CX775" s="24">
        <f t="shared" si="401"/>
        <v>2</v>
      </c>
      <c r="CY775" s="24">
        <f t="shared" si="401"/>
        <v>6</v>
      </c>
      <c r="CZ775" s="24">
        <f t="shared" si="401"/>
        <v>0</v>
      </c>
      <c r="DA775" s="24">
        <f t="shared" si="401"/>
        <v>1</v>
      </c>
      <c r="DB775" s="24">
        <f t="shared" si="401"/>
        <v>5</v>
      </c>
      <c r="DC775" s="24">
        <f t="shared" si="401"/>
        <v>11</v>
      </c>
      <c r="DD775" s="24">
        <f t="shared" si="401"/>
        <v>2</v>
      </c>
      <c r="DE775" s="24">
        <f t="shared" si="401"/>
        <v>0</v>
      </c>
      <c r="DF775" s="24">
        <f t="shared" si="401"/>
        <v>0</v>
      </c>
      <c r="DG775" s="24">
        <f t="shared" si="401"/>
        <v>2</v>
      </c>
      <c r="DH775" s="24">
        <f t="shared" si="401"/>
        <v>2</v>
      </c>
      <c r="DI775" s="24">
        <f t="shared" si="401"/>
        <v>3</v>
      </c>
      <c r="DJ775" s="24">
        <f t="shared" si="401"/>
        <v>2</v>
      </c>
      <c r="DK775" s="24">
        <f t="shared" si="401"/>
        <v>1</v>
      </c>
      <c r="DL775" s="24">
        <f t="shared" si="401"/>
        <v>0</v>
      </c>
      <c r="DM775" s="24">
        <f t="shared" si="401"/>
        <v>2</v>
      </c>
      <c r="DN775" s="24">
        <f t="shared" si="401"/>
        <v>2</v>
      </c>
      <c r="DO775" s="24">
        <f t="shared" si="401"/>
        <v>3</v>
      </c>
      <c r="DP775" s="24">
        <f t="shared" si="401"/>
        <v>0</v>
      </c>
      <c r="DQ775" s="24">
        <f t="shared" si="401"/>
        <v>1</v>
      </c>
      <c r="DR775" s="24">
        <f t="shared" si="401"/>
        <v>0</v>
      </c>
      <c r="DS775" s="24">
        <f t="shared" si="401"/>
        <v>5</v>
      </c>
      <c r="DT775" s="24">
        <f t="shared" si="401"/>
        <v>0</v>
      </c>
      <c r="DU775" s="24">
        <f t="shared" si="401"/>
        <v>0</v>
      </c>
      <c r="DV775" s="18"/>
      <c r="DW775" s="48"/>
    </row>
    <row r="776" spans="1:130" s="316" customFormat="1">
      <c r="A776" s="210" t="s">
        <v>293</v>
      </c>
      <c r="B776" s="211"/>
      <c r="C776" s="8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30">
        <f>MEDIAN(S750:S773)</f>
        <v>54</v>
      </c>
      <c r="T776" s="10"/>
      <c r="U776" s="10"/>
      <c r="V776" s="10"/>
      <c r="W776" s="10"/>
      <c r="X776" s="5"/>
      <c r="Y776" s="10"/>
      <c r="Z776" s="8"/>
      <c r="AA776" s="10" t="str">
        <f>IF(ISERROR(MEDIAN(AA750:AA773)),"",MEDIAN(AA750:AA773))</f>
        <v/>
      </c>
      <c r="AB776" s="10"/>
      <c r="AC776" s="8"/>
      <c r="AD776" s="10"/>
      <c r="AE776" s="30"/>
      <c r="AF776" s="10"/>
      <c r="AG776" s="8"/>
      <c r="AH776" s="10"/>
      <c r="AI776" s="10">
        <f>IF(ISERROR(MEDIAN(AI750:AI773)),"",MEDIAN(AI750:AI773))</f>
        <v>177</v>
      </c>
      <c r="AJ776" s="5" t="str">
        <f>IF(ISERROR(MEDIAN(AJ750:AJ773)),"",MEDIAN(AJ750:AJ773))</f>
        <v/>
      </c>
      <c r="AK776" s="10"/>
      <c r="AL776" s="8"/>
      <c r="AM776" s="10"/>
      <c r="AN776" s="30"/>
      <c r="AO776" s="10"/>
      <c r="AP776" s="10"/>
      <c r="AQ776" s="30"/>
      <c r="AR776" s="10"/>
      <c r="AS776" s="10"/>
      <c r="AT776" s="10"/>
      <c r="AU776" s="10"/>
      <c r="AV776" s="5"/>
      <c r="AW776" s="10"/>
      <c r="AX776" s="326"/>
      <c r="AY776" s="5"/>
      <c r="AZ776" s="10"/>
      <c r="BA776" s="8">
        <f>IF(ISERROR(MEDIAN(BA750:BA773)),"",MEDIAN(BA750:BA773))</f>
        <v>2000</v>
      </c>
      <c r="BB776" s="10"/>
      <c r="BC776" s="10"/>
      <c r="BD776" s="10"/>
      <c r="BE776" s="10"/>
      <c r="BF776" s="10"/>
      <c r="BG776" s="10"/>
      <c r="BH776" s="30"/>
      <c r="BI776" s="10"/>
      <c r="BJ776" s="338"/>
      <c r="BK776" s="338"/>
      <c r="BL776" s="303"/>
      <c r="BM776" s="5"/>
      <c r="BN776" s="10"/>
      <c r="BO776" s="8"/>
      <c r="BP776" s="5"/>
      <c r="BQ776" s="10"/>
      <c r="BR776" s="65"/>
      <c r="BS776" s="19"/>
      <c r="BT776" s="14"/>
      <c r="BU776" s="10"/>
      <c r="BV776" s="8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10"/>
      <c r="CY776" s="10"/>
      <c r="CZ776" s="10"/>
      <c r="DA776" s="10"/>
      <c r="DB776" s="10"/>
      <c r="DC776" s="10"/>
      <c r="DD776" s="10"/>
      <c r="DE776" s="10"/>
      <c r="DF776" s="10"/>
      <c r="DG776" s="10"/>
      <c r="DH776" s="10"/>
      <c r="DI776" s="10"/>
      <c r="DJ776" s="10"/>
      <c r="DK776" s="10"/>
      <c r="DL776" s="10"/>
      <c r="DM776" s="10"/>
      <c r="DN776" s="10"/>
      <c r="DO776" s="10"/>
      <c r="DP776" s="10"/>
      <c r="DQ776" s="10"/>
      <c r="DR776" s="10"/>
      <c r="DS776" s="10"/>
      <c r="DT776" s="10"/>
      <c r="DU776" s="10"/>
      <c r="DV776" s="5"/>
      <c r="DW776" s="21"/>
    </row>
    <row r="777" spans="1:130" s="316" customFormat="1" ht="12" thickBot="1">
      <c r="A777" s="214" t="s">
        <v>294</v>
      </c>
      <c r="B777" s="195"/>
      <c r="C777" s="41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32">
        <f>MODE(S750:S773)</f>
        <v>43</v>
      </c>
      <c r="T777" s="22"/>
      <c r="U777" s="63"/>
      <c r="V777" s="63"/>
      <c r="W777" s="22"/>
      <c r="X777" s="42"/>
      <c r="Y777" s="22"/>
      <c r="Z777" s="41"/>
      <c r="AA777" s="22"/>
      <c r="AB777" s="22"/>
      <c r="AC777" s="41"/>
      <c r="AD777" s="22"/>
      <c r="AE777" s="32"/>
      <c r="AF777" s="22"/>
      <c r="AG777" s="41"/>
      <c r="AH777" s="22"/>
      <c r="AI777" s="22">
        <f>IF(ISERROR(MODE(AI750:AI773)),"",MODE(AI750:AI773))</f>
        <v>212</v>
      </c>
      <c r="AJ777" s="42" t="str">
        <f>IF(ISERROR(MODE(AJ750:AJ773)),"",MODE(AJ750:AJ773))</f>
        <v/>
      </c>
      <c r="AK777" s="22"/>
      <c r="AL777" s="41"/>
      <c r="AM777" s="22"/>
      <c r="AN777" s="32"/>
      <c r="AO777" s="22"/>
      <c r="AP777" s="22"/>
      <c r="AQ777" s="32"/>
      <c r="AR777" s="22"/>
      <c r="AS777" s="22"/>
      <c r="AT777" s="22"/>
      <c r="AU777" s="22"/>
      <c r="AV777" s="42"/>
      <c r="AW777" s="22"/>
      <c r="AX777" s="331"/>
      <c r="AY777" s="42"/>
      <c r="AZ777" s="22"/>
      <c r="BA777" s="41"/>
      <c r="BB777" s="22"/>
      <c r="BC777" s="22"/>
      <c r="BD777" s="22"/>
      <c r="BE777" s="22"/>
      <c r="BF777" s="22"/>
      <c r="BG777" s="22"/>
      <c r="BH777" s="32"/>
      <c r="BI777" s="22"/>
      <c r="BJ777" s="341"/>
      <c r="BK777" s="341"/>
      <c r="BL777" s="306"/>
      <c r="BM777" s="42"/>
      <c r="BN777" s="22"/>
      <c r="BO777" s="41"/>
      <c r="BP777" s="42"/>
      <c r="BQ777" s="22"/>
      <c r="BR777" s="66"/>
      <c r="BS777" s="51"/>
      <c r="BT777" s="67"/>
      <c r="BU777" s="22"/>
      <c r="BV777" s="41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2"/>
      <c r="CP777" s="22"/>
      <c r="CQ777" s="22"/>
      <c r="CR777" s="22"/>
      <c r="CS777" s="22"/>
      <c r="CT777" s="22"/>
      <c r="CU777" s="22"/>
      <c r="CV777" s="22"/>
      <c r="CW777" s="22"/>
      <c r="CX777" s="22"/>
      <c r="CY777" s="22"/>
      <c r="CZ777" s="22"/>
      <c r="DA777" s="22"/>
      <c r="DB777" s="22"/>
      <c r="DC777" s="22"/>
      <c r="DD777" s="22"/>
      <c r="DE777" s="22"/>
      <c r="DF777" s="22"/>
      <c r="DG777" s="22"/>
      <c r="DH777" s="22"/>
      <c r="DI777" s="22"/>
      <c r="DJ777" s="22"/>
      <c r="DK777" s="22"/>
      <c r="DL777" s="22"/>
      <c r="DM777" s="22"/>
      <c r="DN777" s="22"/>
      <c r="DO777" s="22"/>
      <c r="DP777" s="22"/>
      <c r="DQ777" s="22"/>
      <c r="DR777" s="22"/>
      <c r="DS777" s="22"/>
      <c r="DT777" s="22"/>
      <c r="DU777" s="22"/>
      <c r="DV777" s="42"/>
      <c r="DW777" s="23"/>
    </row>
    <row r="778" spans="1:130" s="316" customFormat="1">
      <c r="A778" s="194" t="s">
        <v>182</v>
      </c>
      <c r="B778" s="194"/>
      <c r="C778" s="8">
        <f>COUNTA(C750:C773)</f>
        <v>24</v>
      </c>
      <c r="D778" s="10"/>
      <c r="E778" s="10"/>
      <c r="F778" s="10">
        <f>SUM(C774:F774)</f>
        <v>583</v>
      </c>
      <c r="G778" s="275">
        <f>G774/F778</f>
        <v>8.7478559176672382E-2</v>
      </c>
      <c r="H778" s="104">
        <f>H774/S774</f>
        <v>1.4767932489451477E-2</v>
      </c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30"/>
      <c r="T778" s="10"/>
      <c r="U778" s="98">
        <f>U774/S774</f>
        <v>0.14556962025316456</v>
      </c>
      <c r="V778" s="98">
        <f>V774/S774</f>
        <v>0.12236286919831224</v>
      </c>
      <c r="W778" s="276">
        <f>W774/S774</f>
        <v>2.1097046413502108E-3</v>
      </c>
      <c r="X778" s="276">
        <f>X774/S774</f>
        <v>3.5161744022503515E-3</v>
      </c>
      <c r="Y778" s="10"/>
      <c r="Z778" s="8"/>
      <c r="AA778" s="10"/>
      <c r="AB778" s="10"/>
      <c r="AC778" s="8"/>
      <c r="AD778" s="10"/>
      <c r="AE778" s="30"/>
      <c r="AF778" s="10"/>
      <c r="AG778" s="8"/>
      <c r="AH778" s="10"/>
      <c r="AI778" s="10"/>
      <c r="AJ778" s="5"/>
      <c r="AK778" s="10"/>
      <c r="AL778" s="8"/>
      <c r="AM778" s="10"/>
      <c r="AN778" s="30"/>
      <c r="AO778" s="10"/>
      <c r="AP778" s="10"/>
      <c r="AQ778" s="30"/>
      <c r="AR778" s="10"/>
      <c r="AS778" s="10"/>
      <c r="AT778" s="10"/>
      <c r="AU778" s="10"/>
      <c r="AV778" s="5"/>
      <c r="AW778" s="10"/>
      <c r="AX778" s="326"/>
      <c r="AY778" s="5"/>
      <c r="AZ778" s="10"/>
      <c r="BA778" s="8"/>
      <c r="BB778" s="10"/>
      <c r="BC778" s="10"/>
      <c r="BD778" s="10"/>
      <c r="BE778" s="10"/>
      <c r="BF778" s="10"/>
      <c r="BG778" s="10"/>
      <c r="BH778" s="30"/>
      <c r="BI778" s="10"/>
      <c r="BJ778" s="338"/>
      <c r="BK778" s="338"/>
      <c r="BL778" s="303"/>
      <c r="BM778" s="5"/>
      <c r="BN778" s="10"/>
      <c r="BO778" s="8"/>
      <c r="BP778" s="5"/>
      <c r="BQ778" s="10"/>
      <c r="BR778" s="65"/>
      <c r="BS778" s="19"/>
      <c r="BT778" s="14"/>
      <c r="BU778" s="10"/>
      <c r="BV778" s="8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  <c r="DD778" s="10"/>
      <c r="DE778" s="10"/>
      <c r="DF778" s="10"/>
      <c r="DG778" s="10"/>
      <c r="DH778" s="10"/>
      <c r="DI778" s="10"/>
      <c r="DJ778" s="10"/>
      <c r="DK778" s="10"/>
      <c r="DL778" s="10"/>
      <c r="DM778" s="10"/>
      <c r="DN778" s="10"/>
      <c r="DO778" s="10"/>
      <c r="DP778" s="10"/>
      <c r="DQ778" s="10"/>
      <c r="DR778" s="10"/>
      <c r="DS778" s="10"/>
      <c r="DT778" s="10"/>
      <c r="DU778" s="10"/>
      <c r="DV778" s="5"/>
      <c r="DW778" s="10"/>
    </row>
    <row r="779" spans="1:130" s="316" customFormat="1">
      <c r="A779" s="194"/>
      <c r="B779" s="194"/>
      <c r="C779" s="8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30"/>
      <c r="T779" s="10"/>
      <c r="U779" s="105"/>
      <c r="V779" s="105"/>
      <c r="W779" s="10"/>
      <c r="X779" s="5"/>
      <c r="Y779" s="10"/>
      <c r="Z779" s="8"/>
      <c r="AA779" s="10"/>
      <c r="AB779" s="10"/>
      <c r="AC779" s="8"/>
      <c r="AD779" s="10"/>
      <c r="AE779" s="30"/>
      <c r="AF779" s="10"/>
      <c r="AG779" s="8"/>
      <c r="AH779" s="10"/>
      <c r="AI779" s="10"/>
      <c r="AJ779" s="5"/>
      <c r="AK779" s="10"/>
      <c r="AL779" s="8"/>
      <c r="AM779" s="10"/>
      <c r="AN779" s="30"/>
      <c r="AO779" s="10"/>
      <c r="AP779" s="10"/>
      <c r="AQ779" s="30"/>
      <c r="AR779" s="10"/>
      <c r="AS779" s="10"/>
      <c r="AT779" s="10"/>
      <c r="AU779" s="10"/>
      <c r="AV779" s="5"/>
      <c r="AW779" s="10"/>
      <c r="AX779" s="326"/>
      <c r="AY779" s="5"/>
      <c r="AZ779" s="10"/>
      <c r="BA779" s="8"/>
      <c r="BB779" s="10"/>
      <c r="BC779" s="10"/>
      <c r="BD779" s="10"/>
      <c r="BE779" s="10"/>
      <c r="BF779" s="10"/>
      <c r="BG779" s="10"/>
      <c r="BH779" s="30"/>
      <c r="BI779" s="10"/>
      <c r="BJ779" s="338"/>
      <c r="BK779" s="338"/>
      <c r="BL779" s="303"/>
      <c r="BM779" s="5"/>
      <c r="BN779" s="10"/>
      <c r="BO779" s="8"/>
      <c r="BP779" s="5"/>
      <c r="BQ779" s="10"/>
      <c r="BR779" s="65"/>
      <c r="BS779" s="19"/>
      <c r="BT779" s="14"/>
      <c r="BU779" s="10"/>
      <c r="BV779" s="8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0"/>
      <c r="DE779" s="10"/>
      <c r="DF779" s="10"/>
      <c r="DG779" s="10"/>
      <c r="DH779" s="10"/>
      <c r="DI779" s="10"/>
      <c r="DJ779" s="10"/>
      <c r="DK779" s="10"/>
      <c r="DL779" s="10"/>
      <c r="DM779" s="10"/>
      <c r="DN779" s="10"/>
      <c r="DO779" s="10"/>
      <c r="DP779" s="10"/>
      <c r="DQ779" s="10"/>
      <c r="DR779" s="10"/>
      <c r="DS779" s="10"/>
      <c r="DT779" s="10"/>
      <c r="DU779" s="10"/>
      <c r="DV779" s="5"/>
      <c r="DW779" s="10"/>
    </row>
    <row r="780" spans="1:130" s="316" customFormat="1">
      <c r="A780" s="194"/>
      <c r="B780" s="194"/>
      <c r="C780" s="8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30"/>
      <c r="T780" s="10"/>
      <c r="U780" s="10"/>
      <c r="V780" s="10"/>
      <c r="W780" s="10"/>
      <c r="X780" s="5"/>
      <c r="Y780" s="10"/>
      <c r="Z780" s="8"/>
      <c r="AA780" s="10"/>
      <c r="AB780" s="10"/>
      <c r="AC780" s="8"/>
      <c r="AD780" s="10"/>
      <c r="AE780" s="30"/>
      <c r="AF780" s="10"/>
      <c r="AG780" s="8"/>
      <c r="AH780" s="10"/>
      <c r="AI780" s="10"/>
      <c r="AJ780" s="5"/>
      <c r="AK780" s="10"/>
      <c r="AL780" s="8"/>
      <c r="AM780" s="10"/>
      <c r="AN780" s="30"/>
      <c r="AO780" s="10"/>
      <c r="AP780" s="10"/>
      <c r="AQ780" s="30"/>
      <c r="AR780" s="10"/>
      <c r="AS780" s="10"/>
      <c r="AT780" s="10"/>
      <c r="AU780" s="10"/>
      <c r="AV780" s="5"/>
      <c r="AW780" s="10"/>
      <c r="AX780" s="326"/>
      <c r="AY780" s="5"/>
      <c r="AZ780" s="10"/>
      <c r="BA780" s="8"/>
      <c r="BB780" s="10"/>
      <c r="BC780" s="10"/>
      <c r="BD780" s="10"/>
      <c r="BE780" s="10"/>
      <c r="BF780" s="10"/>
      <c r="BG780" s="10"/>
      <c r="BH780" s="30"/>
      <c r="BI780" s="10"/>
      <c r="BJ780" s="338"/>
      <c r="BK780" s="338"/>
      <c r="BL780" s="303"/>
      <c r="BM780" s="5"/>
      <c r="BN780" s="10"/>
      <c r="BO780" s="8"/>
      <c r="BP780" s="5"/>
      <c r="BQ780" s="10"/>
      <c r="BR780" s="65"/>
      <c r="BS780" s="19"/>
      <c r="BT780" s="14"/>
      <c r="BU780" s="10"/>
      <c r="BV780" s="8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  <c r="DD780" s="10"/>
      <c r="DE780" s="10"/>
      <c r="DF780" s="10"/>
      <c r="DG780" s="10"/>
      <c r="DH780" s="10"/>
      <c r="DI780" s="10"/>
      <c r="DJ780" s="10"/>
      <c r="DK780" s="10"/>
      <c r="DL780" s="10"/>
      <c r="DM780" s="10"/>
      <c r="DN780" s="10"/>
      <c r="DO780" s="10"/>
      <c r="DP780" s="10"/>
      <c r="DQ780" s="10"/>
      <c r="DR780" s="10"/>
      <c r="DS780" s="10"/>
      <c r="DT780" s="10"/>
      <c r="DU780" s="10"/>
      <c r="DV780" s="5"/>
      <c r="DW780" s="10"/>
    </row>
    <row r="781" spans="1:130" customFormat="1" ht="12" thickBot="1">
      <c r="A781" s="194"/>
      <c r="B781" s="194"/>
      <c r="C781" s="8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30"/>
      <c r="T781" s="10"/>
      <c r="U781" s="10"/>
      <c r="V781" s="10"/>
      <c r="W781" s="10"/>
      <c r="X781" s="5"/>
      <c r="Z781" s="8"/>
      <c r="AA781" s="10"/>
      <c r="AB781" s="10"/>
      <c r="AC781" s="8"/>
      <c r="AD781" s="10"/>
      <c r="AE781" s="30"/>
      <c r="AG781" s="8"/>
      <c r="AH781" s="10"/>
      <c r="AI781" s="10"/>
      <c r="AJ781" s="5"/>
      <c r="AL781" s="8"/>
      <c r="AM781" s="10"/>
      <c r="AN781" s="30"/>
      <c r="AO781" s="10"/>
      <c r="AP781" s="10"/>
      <c r="AQ781" s="30"/>
      <c r="AR781" s="10"/>
      <c r="AS781" s="10"/>
      <c r="AT781" s="10"/>
      <c r="AU781" s="10"/>
      <c r="AV781" s="5"/>
      <c r="AX781" s="326"/>
      <c r="AY781" s="5"/>
      <c r="AZ781" s="324"/>
      <c r="BA781" s="8"/>
      <c r="BB781" s="10"/>
      <c r="BC781" s="10"/>
      <c r="BD781" s="10"/>
      <c r="BE781" s="10"/>
      <c r="BF781" s="10"/>
      <c r="BG781" s="10"/>
      <c r="BH781" s="30"/>
      <c r="BI781" s="10"/>
      <c r="BJ781" s="338"/>
      <c r="BK781" s="338"/>
      <c r="BL781" s="303"/>
      <c r="BM781" s="5"/>
      <c r="BO781" s="8"/>
      <c r="BP781" s="5"/>
      <c r="BR781" s="65"/>
      <c r="BS781" s="19"/>
      <c r="BT781" s="14"/>
      <c r="BV781" s="8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  <c r="DC781" s="10"/>
      <c r="DD781" s="10"/>
      <c r="DE781" s="10"/>
      <c r="DF781" s="10"/>
      <c r="DG781" s="10"/>
      <c r="DH781" s="10"/>
      <c r="DI781" s="10"/>
      <c r="DJ781" s="10"/>
      <c r="DK781" s="10"/>
      <c r="DL781" s="10"/>
      <c r="DM781" s="10"/>
      <c r="DN781" s="10"/>
      <c r="DO781" s="10"/>
      <c r="DP781" s="10"/>
      <c r="DQ781" s="10"/>
      <c r="DR781" s="10"/>
      <c r="DS781" s="10"/>
      <c r="DT781" s="10"/>
      <c r="DU781" s="10"/>
      <c r="DV781" s="5"/>
    </row>
    <row r="782" spans="1:130" s="366" customFormat="1">
      <c r="A782" s="208">
        <v>41456</v>
      </c>
      <c r="B782" s="209"/>
      <c r="C782" s="36">
        <v>8</v>
      </c>
      <c r="D782" s="9">
        <v>30</v>
      </c>
      <c r="E782" s="9">
        <v>7</v>
      </c>
      <c r="F782" s="9">
        <v>6</v>
      </c>
      <c r="G782" s="9">
        <v>2</v>
      </c>
      <c r="H782" s="9">
        <v>0</v>
      </c>
      <c r="I782" s="9">
        <v>0</v>
      </c>
      <c r="J782" s="9">
        <v>9</v>
      </c>
      <c r="K782" s="9">
        <v>0</v>
      </c>
      <c r="L782" s="9">
        <v>0</v>
      </c>
      <c r="M782" s="9">
        <v>0</v>
      </c>
      <c r="N782" s="9">
        <v>0</v>
      </c>
      <c r="O782" s="9">
        <v>11</v>
      </c>
      <c r="P782" s="9">
        <v>0</v>
      </c>
      <c r="Q782" s="9">
        <v>0</v>
      </c>
      <c r="R782" s="9">
        <v>0</v>
      </c>
      <c r="S782" s="33">
        <f>SUM(C782:R782)</f>
        <v>73</v>
      </c>
      <c r="T782" s="9"/>
      <c r="U782" s="9">
        <v>41</v>
      </c>
      <c r="V782" s="9">
        <v>29</v>
      </c>
      <c r="W782" s="9">
        <v>2</v>
      </c>
      <c r="X782" s="37">
        <v>0</v>
      </c>
      <c r="Y782" s="9"/>
      <c r="Z782" s="91">
        <v>413696</v>
      </c>
      <c r="AA782" s="99"/>
      <c r="AB782" s="99"/>
      <c r="AC782" s="91">
        <v>25456640</v>
      </c>
      <c r="AD782" s="9"/>
      <c r="AE782" s="33">
        <f t="shared" ref="AE782:AE805" si="402">SUM(AC782:AD782)</f>
        <v>25456640</v>
      </c>
      <c r="AF782" s="9"/>
      <c r="AG782" s="91">
        <v>231</v>
      </c>
      <c r="AH782" s="92">
        <v>1</v>
      </c>
      <c r="AI782" s="92">
        <v>244</v>
      </c>
      <c r="AJ782" s="93"/>
      <c r="AK782" s="9"/>
      <c r="AL782" s="36">
        <v>0</v>
      </c>
      <c r="AM782" s="9">
        <v>31</v>
      </c>
      <c r="AN782" s="33">
        <f>SUM(AL782:AM782)</f>
        <v>31</v>
      </c>
      <c r="AO782" s="280"/>
      <c r="AP782" s="280"/>
      <c r="AQ782" s="282"/>
      <c r="AR782" s="92">
        <v>155</v>
      </c>
      <c r="AS782" s="92">
        <v>135</v>
      </c>
      <c r="AT782" s="92">
        <v>200</v>
      </c>
      <c r="AU782" s="92">
        <v>25</v>
      </c>
      <c r="AV782" s="93">
        <v>415</v>
      </c>
      <c r="AW782" s="9"/>
      <c r="AX782" s="325">
        <v>41454</v>
      </c>
      <c r="AY782" s="37">
        <f t="shared" ref="AY782" si="403">AX782-A782</f>
        <v>-2</v>
      </c>
      <c r="AZ782" s="9"/>
      <c r="BA782" s="367"/>
      <c r="BB782" s="302"/>
      <c r="BC782" s="9"/>
      <c r="BD782" s="9"/>
      <c r="BE782" s="9"/>
      <c r="BF782" s="9"/>
      <c r="BG782" s="37"/>
      <c r="BH782" s="350"/>
      <c r="BI782" s="9"/>
      <c r="BJ782" s="337"/>
      <c r="BK782" s="337"/>
      <c r="BL782" s="319">
        <f>BK782-BJ782</f>
        <v>0</v>
      </c>
      <c r="BM782" s="37"/>
      <c r="BN782" s="290"/>
      <c r="BO782" s="291"/>
      <c r="BP782" s="37"/>
      <c r="BQ782" s="9"/>
      <c r="BR782" s="74">
        <v>2014</v>
      </c>
      <c r="BS782" s="75">
        <v>2012</v>
      </c>
      <c r="BT782" s="13">
        <v>13</v>
      </c>
      <c r="BU782" s="9"/>
      <c r="BV782" s="36"/>
      <c r="BW782" s="9">
        <v>4</v>
      </c>
      <c r="BX782" s="9"/>
      <c r="BY782" s="9"/>
      <c r="BZ782" s="9"/>
      <c r="CA782" s="9"/>
      <c r="CB782" s="223"/>
      <c r="CC782" s="9"/>
      <c r="CD782" s="9">
        <v>4</v>
      </c>
      <c r="CE782" s="223"/>
      <c r="CF782" s="223"/>
      <c r="CG782" s="9"/>
      <c r="CH782" s="9"/>
      <c r="CI782" s="9">
        <v>20</v>
      </c>
      <c r="CJ782" s="9">
        <v>22</v>
      </c>
      <c r="CK782" s="9"/>
      <c r="CL782" s="9"/>
      <c r="CM782" s="9"/>
      <c r="CN782" s="9"/>
      <c r="CO782" s="9">
        <v>18</v>
      </c>
      <c r="CP782" s="9"/>
      <c r="CQ782" s="9"/>
      <c r="CR782" s="223"/>
      <c r="CS782" s="9"/>
      <c r="CT782" s="9"/>
      <c r="CU782" s="223"/>
      <c r="CV782" s="9">
        <v>1</v>
      </c>
      <c r="CW782" s="9"/>
      <c r="CX782" s="9"/>
      <c r="CY782" s="9"/>
      <c r="CZ782" s="9"/>
      <c r="DA782" s="9"/>
      <c r="DB782" s="9">
        <v>1</v>
      </c>
      <c r="DC782" s="9"/>
      <c r="DD782" s="9"/>
      <c r="DE782" s="9"/>
      <c r="DF782" s="9"/>
      <c r="DG782" s="9">
        <v>2</v>
      </c>
      <c r="DH782" s="9"/>
      <c r="DI782" s="9"/>
      <c r="DJ782" s="9"/>
      <c r="DK782" s="9"/>
      <c r="DL782" s="223"/>
      <c r="DM782" s="9">
        <v>1</v>
      </c>
      <c r="DN782" s="9"/>
      <c r="DO782" s="9"/>
      <c r="DP782" s="9"/>
      <c r="DQ782" s="9"/>
      <c r="DR782" s="9"/>
      <c r="DS782" s="9"/>
      <c r="DT782" s="9"/>
      <c r="DU782" s="9"/>
      <c r="DV782" s="44">
        <f>SUM(BV782:DU782)</f>
        <v>73</v>
      </c>
      <c r="DW782" s="13" t="str">
        <f t="shared" ref="DW782:DW805" si="404">IF(DV782=S782,"","PROB")</f>
        <v/>
      </c>
      <c r="DY782" s="366">
        <f>S782</f>
        <v>73</v>
      </c>
    </row>
    <row r="783" spans="1:130" s="366" customFormat="1">
      <c r="A783" s="210">
        <v>41470</v>
      </c>
      <c r="B783" s="211"/>
      <c r="C783" s="8">
        <v>0</v>
      </c>
      <c r="D783" s="10">
        <v>20</v>
      </c>
      <c r="E783" s="10">
        <v>0</v>
      </c>
      <c r="F783" s="59">
        <v>1</v>
      </c>
      <c r="G783" s="59">
        <v>3</v>
      </c>
      <c r="H783" s="59">
        <v>0</v>
      </c>
      <c r="I783" s="59">
        <v>0</v>
      </c>
      <c r="J783" s="59">
        <v>31</v>
      </c>
      <c r="K783" s="59">
        <v>0</v>
      </c>
      <c r="L783" s="59">
        <v>0</v>
      </c>
      <c r="M783" s="59">
        <v>0</v>
      </c>
      <c r="N783" s="59">
        <v>0</v>
      </c>
      <c r="O783" s="59">
        <v>11</v>
      </c>
      <c r="P783" s="59">
        <v>0</v>
      </c>
      <c r="Q783" s="59">
        <v>0</v>
      </c>
      <c r="R783" s="59">
        <v>0</v>
      </c>
      <c r="S783" s="35">
        <f>SUM(C783:R783)</f>
        <v>66</v>
      </c>
      <c r="T783" s="59"/>
      <c r="U783" s="59">
        <v>22</v>
      </c>
      <c r="V783" s="59">
        <v>19</v>
      </c>
      <c r="W783" s="59">
        <v>0</v>
      </c>
      <c r="X783" s="5">
        <v>0</v>
      </c>
      <c r="Y783" s="10"/>
      <c r="Z783" s="61">
        <v>471040</v>
      </c>
      <c r="AA783" s="219"/>
      <c r="AB783" s="219"/>
      <c r="AC783" s="61">
        <v>3129344</v>
      </c>
      <c r="AD783" s="59"/>
      <c r="AE783" s="35">
        <f t="shared" si="402"/>
        <v>3129344</v>
      </c>
      <c r="AF783" s="10"/>
      <c r="AG783" s="61">
        <v>113</v>
      </c>
      <c r="AH783" s="59">
        <v>61</v>
      </c>
      <c r="AI783" s="59">
        <v>196</v>
      </c>
      <c r="AJ783" s="62"/>
      <c r="AK783" s="10"/>
      <c r="AL783" s="8"/>
      <c r="AM783" s="10"/>
      <c r="AN783" s="35"/>
      <c r="AO783" s="279"/>
      <c r="AP783" s="279"/>
      <c r="AQ783" s="281"/>
      <c r="AR783" s="59"/>
      <c r="AS783" s="59">
        <v>137</v>
      </c>
      <c r="AT783" s="59">
        <v>199</v>
      </c>
      <c r="AU783" s="59">
        <v>25</v>
      </c>
      <c r="AV783" s="62">
        <v>416</v>
      </c>
      <c r="AW783" s="10"/>
      <c r="AX783" s="326">
        <v>41466</v>
      </c>
      <c r="AY783" s="5">
        <f>IF(ISBLANK(AX783),"",AX783-A783)</f>
        <v>-4</v>
      </c>
      <c r="AZ783" s="10"/>
      <c r="BA783" s="364"/>
      <c r="BB783" s="303"/>
      <c r="BC783" s="10"/>
      <c r="BD783" s="10"/>
      <c r="BE783" s="10"/>
      <c r="BF783" s="10"/>
      <c r="BG783" s="5"/>
      <c r="BH783" s="30"/>
      <c r="BJ783" s="327"/>
      <c r="BK783" s="327"/>
      <c r="BL783" s="320"/>
      <c r="BM783" s="5"/>
      <c r="BN783" s="10"/>
      <c r="BO783" s="8"/>
      <c r="BP783" s="5"/>
      <c r="BQ783" s="10"/>
      <c r="BR783" s="29">
        <v>2014</v>
      </c>
      <c r="BS783" s="64">
        <v>2012</v>
      </c>
      <c r="BT783" s="14">
        <v>14</v>
      </c>
      <c r="BU783" s="10"/>
      <c r="BV783" s="8">
        <v>1</v>
      </c>
      <c r="BW783" s="10">
        <v>1</v>
      </c>
      <c r="BX783" s="59"/>
      <c r="BY783" s="59"/>
      <c r="BZ783" s="59"/>
      <c r="CA783" s="59">
        <v>1</v>
      </c>
      <c r="CB783" s="221"/>
      <c r="CC783" s="59"/>
      <c r="CD783" s="59">
        <v>3</v>
      </c>
      <c r="CE783" s="222"/>
      <c r="CF783" s="221"/>
      <c r="CG783" s="59"/>
      <c r="CH783" s="59"/>
      <c r="CI783" s="59">
        <v>3</v>
      </c>
      <c r="CJ783" s="59">
        <v>16</v>
      </c>
      <c r="CK783" s="59"/>
      <c r="CL783" s="59"/>
      <c r="CM783" s="59"/>
      <c r="CN783" s="59"/>
      <c r="CO783" s="59">
        <v>11</v>
      </c>
      <c r="CP783" s="59"/>
      <c r="CQ783" s="59"/>
      <c r="CR783" s="221"/>
      <c r="CS783" s="59"/>
      <c r="CT783" s="59"/>
      <c r="CU783" s="221"/>
      <c r="CV783" s="59">
        <v>1</v>
      </c>
      <c r="CW783" s="59"/>
      <c r="CX783" s="59"/>
      <c r="CY783" s="59"/>
      <c r="CZ783" s="59"/>
      <c r="DA783" s="59"/>
      <c r="DB783" s="59">
        <v>22</v>
      </c>
      <c r="DC783" s="59"/>
      <c r="DD783" s="59"/>
      <c r="DE783" s="59"/>
      <c r="DF783" s="59"/>
      <c r="DG783" s="59">
        <v>2</v>
      </c>
      <c r="DH783" s="59">
        <v>4</v>
      </c>
      <c r="DI783" s="59">
        <v>1</v>
      </c>
      <c r="DJ783" s="59"/>
      <c r="DK783" s="59"/>
      <c r="DL783" s="221"/>
      <c r="DM783" s="59"/>
      <c r="DN783" s="59"/>
      <c r="DO783" s="59"/>
      <c r="DP783" s="59"/>
      <c r="DQ783" s="59"/>
      <c r="DR783" s="59"/>
      <c r="DS783" s="59"/>
      <c r="DT783" s="59"/>
      <c r="DU783" s="59"/>
      <c r="DV783" s="38">
        <f t="shared" ref="DV783:DV806" si="405">SUM(BV783:DU783)</f>
        <v>66</v>
      </c>
      <c r="DW783" s="14" t="str">
        <f t="shared" si="404"/>
        <v/>
      </c>
      <c r="DY783" s="366">
        <f>S783</f>
        <v>66</v>
      </c>
    </row>
    <row r="784" spans="1:130" s="366" customFormat="1">
      <c r="A784" s="210">
        <v>41487</v>
      </c>
      <c r="B784" s="211"/>
      <c r="C784" s="8"/>
      <c r="D784" s="10"/>
      <c r="E784" s="10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35">
        <f>SUM(C784:R784)</f>
        <v>0</v>
      </c>
      <c r="T784" s="59"/>
      <c r="U784" s="59"/>
      <c r="V784" s="59"/>
      <c r="W784" s="59"/>
      <c r="X784" s="5"/>
      <c r="Y784" s="10"/>
      <c r="Z784" s="61"/>
      <c r="AA784" s="100"/>
      <c r="AB784" s="100"/>
      <c r="AC784" s="61"/>
      <c r="AD784" s="59"/>
      <c r="AE784" s="35">
        <f t="shared" si="402"/>
        <v>0</v>
      </c>
      <c r="AF784" s="10"/>
      <c r="AG784" s="61"/>
      <c r="AH784" s="59"/>
      <c r="AI784" s="59"/>
      <c r="AJ784" s="62"/>
      <c r="AK784" s="10"/>
      <c r="AL784" s="8"/>
      <c r="AM784" s="10"/>
      <c r="AN784" s="35"/>
      <c r="AO784" s="279"/>
      <c r="AP784" s="279"/>
      <c r="AQ784" s="281"/>
      <c r="AR784" s="59"/>
      <c r="AS784" s="59"/>
      <c r="AT784" s="59"/>
      <c r="AU784" s="59"/>
      <c r="AV784" s="62"/>
      <c r="AW784" s="10"/>
      <c r="AX784" s="326"/>
      <c r="AY784" s="5" t="str">
        <f t="shared" ref="AY784:AY804" si="406">IF(ISBLANK(AX784),"",AX784-A784)</f>
        <v/>
      </c>
      <c r="AZ784" s="10"/>
      <c r="BA784" s="364"/>
      <c r="BB784" s="303"/>
      <c r="BC784" s="10"/>
      <c r="BD784" s="10"/>
      <c r="BE784" s="10"/>
      <c r="BF784" s="10"/>
      <c r="BG784" s="5"/>
      <c r="BH784" s="30"/>
      <c r="BJ784" s="327"/>
      <c r="BK784" s="327"/>
      <c r="BL784" s="320">
        <f>BK784-BJ784</f>
        <v>0</v>
      </c>
      <c r="BM784" s="5"/>
      <c r="BN784" s="292"/>
      <c r="BO784" s="293"/>
      <c r="BP784" s="5"/>
      <c r="BQ784" s="10"/>
      <c r="BR784" s="29">
        <v>2014</v>
      </c>
      <c r="BS784" s="64">
        <v>2012</v>
      </c>
      <c r="BT784" s="14">
        <v>15</v>
      </c>
      <c r="BU784" s="10"/>
      <c r="BV784" s="8"/>
      <c r="BW784" s="10"/>
      <c r="BX784" s="59"/>
      <c r="BY784" s="59"/>
      <c r="BZ784" s="59"/>
      <c r="CA784" s="59"/>
      <c r="CB784" s="221"/>
      <c r="CC784" s="59"/>
      <c r="CD784" s="59"/>
      <c r="CE784" s="222"/>
      <c r="CF784" s="221"/>
      <c r="CG784" s="59"/>
      <c r="CH784" s="59"/>
      <c r="CI784" s="59"/>
      <c r="CJ784" s="59"/>
      <c r="CK784" s="59"/>
      <c r="CL784" s="59"/>
      <c r="CM784" s="59"/>
      <c r="CN784" s="59"/>
      <c r="CO784" s="59"/>
      <c r="CP784" s="59"/>
      <c r="CQ784" s="59"/>
      <c r="CR784" s="221"/>
      <c r="CS784" s="59"/>
      <c r="CT784" s="59"/>
      <c r="CU784" s="221"/>
      <c r="CV784" s="59"/>
      <c r="CW784" s="59"/>
      <c r="CX784" s="59"/>
      <c r="CY784" s="59"/>
      <c r="CZ784" s="59"/>
      <c r="DA784" s="59"/>
      <c r="DB784" s="59"/>
      <c r="DC784" s="59"/>
      <c r="DD784" s="59"/>
      <c r="DE784" s="59"/>
      <c r="DF784" s="59"/>
      <c r="DG784" s="59"/>
      <c r="DH784" s="59"/>
      <c r="DI784" s="59"/>
      <c r="DJ784" s="59"/>
      <c r="DK784" s="59"/>
      <c r="DL784" s="221"/>
      <c r="DM784" s="59"/>
      <c r="DN784" s="59"/>
      <c r="DO784" s="59"/>
      <c r="DP784" s="59"/>
      <c r="DQ784" s="59"/>
      <c r="DR784" s="59"/>
      <c r="DS784" s="59"/>
      <c r="DT784" s="59"/>
      <c r="DU784" s="59"/>
      <c r="DV784" s="38">
        <f t="shared" si="405"/>
        <v>0</v>
      </c>
      <c r="DW784" s="14" t="str">
        <f t="shared" si="404"/>
        <v/>
      </c>
      <c r="DY784" s="366">
        <f>S784</f>
        <v>0</v>
      </c>
    </row>
    <row r="785" spans="1:130" s="366" customFormat="1">
      <c r="A785" s="210">
        <v>41501</v>
      </c>
      <c r="B785" s="211"/>
      <c r="C785" s="61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35">
        <f t="shared" ref="S785:S796" si="407">SUM(C785:R785)</f>
        <v>0</v>
      </c>
      <c r="T785" s="59"/>
      <c r="U785" s="59"/>
      <c r="V785" s="59"/>
      <c r="W785" s="59"/>
      <c r="X785" s="62"/>
      <c r="Y785" s="59"/>
      <c r="Z785" s="61"/>
      <c r="AA785" s="101"/>
      <c r="AB785" s="101"/>
      <c r="AC785" s="61"/>
      <c r="AD785" s="59"/>
      <c r="AE785" s="35">
        <f t="shared" si="402"/>
        <v>0</v>
      </c>
      <c r="AF785" s="10"/>
      <c r="AG785" s="61"/>
      <c r="AH785" s="59"/>
      <c r="AI785" s="59"/>
      <c r="AJ785" s="62"/>
      <c r="AK785" s="10"/>
      <c r="AL785" s="8"/>
      <c r="AM785" s="10"/>
      <c r="AN785" s="35"/>
      <c r="AO785" s="279"/>
      <c r="AP785" s="279"/>
      <c r="AQ785" s="281"/>
      <c r="AR785" s="59"/>
      <c r="AS785" s="59"/>
      <c r="AT785" s="59"/>
      <c r="AU785" s="59"/>
      <c r="AV785" s="62"/>
      <c r="AW785" s="10"/>
      <c r="AX785" s="326"/>
      <c r="AY785" s="5" t="str">
        <f t="shared" si="406"/>
        <v/>
      </c>
      <c r="AZ785" s="10"/>
      <c r="BA785" s="364"/>
      <c r="BB785" s="303"/>
      <c r="BC785" s="10"/>
      <c r="BD785" s="10"/>
      <c r="BE785" s="10"/>
      <c r="BF785" s="10"/>
      <c r="BG785" s="5"/>
      <c r="BH785" s="30"/>
      <c r="BJ785" s="327"/>
      <c r="BK785" s="327"/>
      <c r="BL785" s="320"/>
      <c r="BM785" s="5"/>
      <c r="BN785" s="10"/>
      <c r="BO785" s="8"/>
      <c r="BP785" s="5"/>
      <c r="BQ785" s="10"/>
      <c r="BR785" s="29">
        <v>2014</v>
      </c>
      <c r="BS785" s="64">
        <v>2012</v>
      </c>
      <c r="BT785" s="14">
        <v>16</v>
      </c>
      <c r="BU785" s="10"/>
      <c r="BV785" s="8"/>
      <c r="BW785" s="59"/>
      <c r="BX785" s="59"/>
      <c r="BY785" s="59"/>
      <c r="BZ785" s="59"/>
      <c r="CA785" s="59"/>
      <c r="CB785" s="221"/>
      <c r="CC785" s="59"/>
      <c r="CD785" s="59"/>
      <c r="CE785" s="222"/>
      <c r="CF785" s="221"/>
      <c r="CG785" s="59"/>
      <c r="CH785" s="59"/>
      <c r="CI785" s="59"/>
      <c r="CJ785" s="59"/>
      <c r="CK785" s="59"/>
      <c r="CL785" s="59"/>
      <c r="CM785" s="59"/>
      <c r="CN785" s="59"/>
      <c r="CO785" s="59"/>
      <c r="CP785" s="59"/>
      <c r="CQ785" s="59"/>
      <c r="CR785" s="221"/>
      <c r="CS785" s="59"/>
      <c r="CT785" s="59"/>
      <c r="CU785" s="221"/>
      <c r="CV785" s="59"/>
      <c r="CW785" s="59"/>
      <c r="CX785" s="59"/>
      <c r="CY785" s="59"/>
      <c r="CZ785" s="59"/>
      <c r="DA785" s="59"/>
      <c r="DB785" s="59"/>
      <c r="DC785" s="59"/>
      <c r="DD785" s="59"/>
      <c r="DE785" s="59"/>
      <c r="DF785" s="59"/>
      <c r="DG785" s="59"/>
      <c r="DH785" s="59"/>
      <c r="DI785" s="59"/>
      <c r="DJ785" s="59"/>
      <c r="DK785" s="59"/>
      <c r="DL785" s="221"/>
      <c r="DM785" s="59"/>
      <c r="DN785" s="59"/>
      <c r="DO785" s="59"/>
      <c r="DP785" s="59"/>
      <c r="DQ785" s="59"/>
      <c r="DR785" s="59"/>
      <c r="DS785" s="59"/>
      <c r="DT785" s="59"/>
      <c r="DU785" s="59"/>
      <c r="DV785" s="38">
        <f t="shared" si="405"/>
        <v>0</v>
      </c>
      <c r="DW785" s="14" t="str">
        <f t="shared" si="404"/>
        <v/>
      </c>
      <c r="DY785" s="366">
        <f>S785</f>
        <v>0</v>
      </c>
    </row>
    <row r="786" spans="1:130" s="366" customFormat="1">
      <c r="A786" s="210">
        <v>41518</v>
      </c>
      <c r="B786" s="211"/>
      <c r="C786" s="61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35">
        <f t="shared" si="407"/>
        <v>0</v>
      </c>
      <c r="T786" s="59"/>
      <c r="U786" s="59"/>
      <c r="V786" s="59"/>
      <c r="W786" s="59"/>
      <c r="X786" s="62"/>
      <c r="Y786" s="59"/>
      <c r="Z786" s="61"/>
      <c r="AA786" s="101"/>
      <c r="AB786" s="101"/>
      <c r="AC786" s="61"/>
      <c r="AD786" s="59"/>
      <c r="AE786" s="35">
        <f t="shared" si="402"/>
        <v>0</v>
      </c>
      <c r="AF786" s="10"/>
      <c r="AG786" s="61"/>
      <c r="AH786" s="59"/>
      <c r="AI786" s="59"/>
      <c r="AJ786" s="62"/>
      <c r="AK786" s="10"/>
      <c r="AL786" s="8"/>
      <c r="AM786" s="10"/>
      <c r="AN786" s="35"/>
      <c r="AO786" s="279"/>
      <c r="AP786" s="279"/>
      <c r="AQ786" s="281"/>
      <c r="AR786" s="59"/>
      <c r="AS786" s="59"/>
      <c r="AT786" s="59"/>
      <c r="AU786" s="59"/>
      <c r="AV786" s="62"/>
      <c r="AW786" s="10"/>
      <c r="AX786" s="326"/>
      <c r="AY786" s="5" t="str">
        <f t="shared" si="406"/>
        <v/>
      </c>
      <c r="AZ786" s="10"/>
      <c r="BA786" s="364"/>
      <c r="BB786" s="307"/>
      <c r="BC786" s="10"/>
      <c r="BD786" s="59"/>
      <c r="BE786" s="10"/>
      <c r="BF786" s="59"/>
      <c r="BG786" s="62"/>
      <c r="BH786" s="30"/>
      <c r="BI786" s="59"/>
      <c r="BJ786" s="327"/>
      <c r="BK786" s="327"/>
      <c r="BL786" s="320">
        <f>BK786-BJ786</f>
        <v>0</v>
      </c>
      <c r="BM786" s="5"/>
      <c r="BN786" s="101"/>
      <c r="BO786" s="294"/>
      <c r="BP786" s="5"/>
      <c r="BQ786" s="10"/>
      <c r="BR786" s="29">
        <v>2014</v>
      </c>
      <c r="BS786" s="64">
        <v>2012</v>
      </c>
      <c r="BT786" s="14">
        <v>17</v>
      </c>
      <c r="BU786" s="10"/>
      <c r="BV786" s="8"/>
      <c r="BW786" s="59"/>
      <c r="BX786" s="59"/>
      <c r="BY786" s="59"/>
      <c r="BZ786" s="59"/>
      <c r="CA786" s="59"/>
      <c r="CB786" s="221"/>
      <c r="CC786" s="59"/>
      <c r="CD786" s="59"/>
      <c r="CE786" s="222"/>
      <c r="CF786" s="221"/>
      <c r="CG786" s="59"/>
      <c r="CH786" s="59"/>
      <c r="CI786" s="59"/>
      <c r="CJ786" s="59"/>
      <c r="CK786" s="59"/>
      <c r="CL786" s="59"/>
      <c r="CM786" s="59"/>
      <c r="CN786" s="59"/>
      <c r="CO786" s="59"/>
      <c r="CP786" s="59"/>
      <c r="CQ786" s="59"/>
      <c r="CR786" s="221"/>
      <c r="CS786" s="59"/>
      <c r="CT786" s="59"/>
      <c r="CU786" s="221"/>
      <c r="CV786" s="59"/>
      <c r="CW786" s="59"/>
      <c r="CX786" s="59"/>
      <c r="CY786" s="59"/>
      <c r="CZ786" s="59"/>
      <c r="DA786" s="59"/>
      <c r="DB786" s="59"/>
      <c r="DC786" s="59"/>
      <c r="DD786" s="59"/>
      <c r="DE786" s="59"/>
      <c r="DF786" s="59"/>
      <c r="DG786" s="59"/>
      <c r="DH786" s="59"/>
      <c r="DI786" s="59"/>
      <c r="DJ786" s="59"/>
      <c r="DK786" s="59"/>
      <c r="DL786" s="221"/>
      <c r="DM786" s="59"/>
      <c r="DN786" s="59"/>
      <c r="DO786" s="59"/>
      <c r="DP786" s="59"/>
      <c r="DQ786" s="59"/>
      <c r="DR786" s="59"/>
      <c r="DS786" s="59"/>
      <c r="DT786" s="59"/>
      <c r="DU786" s="59"/>
      <c r="DV786" s="38">
        <f t="shared" si="405"/>
        <v>0</v>
      </c>
      <c r="DW786" s="14" t="str">
        <f t="shared" si="404"/>
        <v/>
      </c>
      <c r="DY786" s="366">
        <f>S786</f>
        <v>0</v>
      </c>
    </row>
    <row r="787" spans="1:130" s="366" customFormat="1">
      <c r="A787" s="210">
        <v>41532</v>
      </c>
      <c r="B787" s="211"/>
      <c r="C787" s="61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35">
        <f t="shared" si="407"/>
        <v>0</v>
      </c>
      <c r="T787" s="59"/>
      <c r="U787" s="59"/>
      <c r="V787" s="59"/>
      <c r="W787" s="59"/>
      <c r="X787" s="62"/>
      <c r="Y787" s="59"/>
      <c r="Z787" s="61"/>
      <c r="AA787" s="101"/>
      <c r="AB787" s="101"/>
      <c r="AC787" s="61"/>
      <c r="AD787" s="59"/>
      <c r="AE787" s="35">
        <f t="shared" si="402"/>
        <v>0</v>
      </c>
      <c r="AF787" s="10"/>
      <c r="AG787" s="61"/>
      <c r="AH787" s="59"/>
      <c r="AI787" s="59"/>
      <c r="AJ787" s="62"/>
      <c r="AK787" s="10"/>
      <c r="AL787" s="8"/>
      <c r="AM787" s="10"/>
      <c r="AN787" s="35"/>
      <c r="AO787" s="279"/>
      <c r="AP787" s="279"/>
      <c r="AQ787" s="281"/>
      <c r="AR787" s="59"/>
      <c r="AS787" s="59"/>
      <c r="AT787" s="59"/>
      <c r="AU787" s="59"/>
      <c r="AV787" s="62"/>
      <c r="AW787" s="10"/>
      <c r="AX787" s="326"/>
      <c r="AY787" s="5" t="str">
        <f t="shared" si="406"/>
        <v/>
      </c>
      <c r="AZ787" s="10"/>
      <c r="BA787" s="364"/>
      <c r="BB787" s="303"/>
      <c r="BC787" s="10"/>
      <c r="BD787" s="10"/>
      <c r="BE787" s="10"/>
      <c r="BF787" s="10"/>
      <c r="BG787" s="5"/>
      <c r="BH787" s="30"/>
      <c r="BJ787" s="327"/>
      <c r="BK787" s="327"/>
      <c r="BL787" s="320"/>
      <c r="BM787" s="5"/>
      <c r="BN787" s="10"/>
      <c r="BO787" s="8"/>
      <c r="BP787" s="5"/>
      <c r="BQ787" s="10"/>
      <c r="BR787" s="29">
        <v>2014</v>
      </c>
      <c r="BS787" s="64">
        <v>2012</v>
      </c>
      <c r="BT787" s="14">
        <v>18</v>
      </c>
      <c r="BU787" s="10"/>
      <c r="BV787" s="8"/>
      <c r="BW787" s="59"/>
      <c r="BX787" s="59"/>
      <c r="BY787" s="59"/>
      <c r="BZ787" s="59"/>
      <c r="CA787" s="59"/>
      <c r="CB787" s="221"/>
      <c r="CC787" s="59"/>
      <c r="CD787" s="59"/>
      <c r="CE787" s="222"/>
      <c r="CF787" s="221"/>
      <c r="CG787" s="59"/>
      <c r="CH787" s="59"/>
      <c r="CI787" s="59"/>
      <c r="CJ787" s="59"/>
      <c r="CK787" s="59"/>
      <c r="CL787" s="59"/>
      <c r="CM787" s="59"/>
      <c r="CN787" s="59"/>
      <c r="CO787" s="59"/>
      <c r="CP787" s="59"/>
      <c r="CQ787" s="59"/>
      <c r="CR787" s="221"/>
      <c r="CS787" s="59"/>
      <c r="CT787" s="59"/>
      <c r="CU787" s="221"/>
      <c r="CV787" s="59"/>
      <c r="CW787" s="59"/>
      <c r="CX787" s="59"/>
      <c r="CY787" s="59"/>
      <c r="CZ787" s="59"/>
      <c r="DA787" s="59"/>
      <c r="DB787" s="59"/>
      <c r="DC787" s="59"/>
      <c r="DD787" s="59"/>
      <c r="DE787" s="59"/>
      <c r="DF787" s="59"/>
      <c r="DG787" s="59"/>
      <c r="DH787" s="59"/>
      <c r="DI787" s="59"/>
      <c r="DJ787" s="59"/>
      <c r="DK787" s="59"/>
      <c r="DL787" s="221"/>
      <c r="DM787" s="59"/>
      <c r="DN787" s="59"/>
      <c r="DO787" s="59"/>
      <c r="DP787" s="59"/>
      <c r="DQ787" s="59"/>
      <c r="DR787" s="59"/>
      <c r="DS787" s="59"/>
      <c r="DT787" s="59"/>
      <c r="DU787" s="59"/>
      <c r="DV787" s="38">
        <f t="shared" si="405"/>
        <v>0</v>
      </c>
      <c r="DW787" s="14" t="str">
        <f t="shared" si="404"/>
        <v/>
      </c>
      <c r="DY787" s="366">
        <f t="shared" ref="DY787:DY805" si="408">S787</f>
        <v>0</v>
      </c>
    </row>
    <row r="788" spans="1:130" s="366" customFormat="1">
      <c r="A788" s="210">
        <v>41548</v>
      </c>
      <c r="B788" s="211"/>
      <c r="C788" s="61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35">
        <f t="shared" si="407"/>
        <v>0</v>
      </c>
      <c r="T788" s="59"/>
      <c r="U788" s="59"/>
      <c r="V788" s="59"/>
      <c r="W788" s="59"/>
      <c r="X788" s="5"/>
      <c r="Y788" s="10"/>
      <c r="Z788" s="61"/>
      <c r="AA788" s="101"/>
      <c r="AB788" s="101"/>
      <c r="AC788" s="61"/>
      <c r="AD788" s="59"/>
      <c r="AE788" s="35">
        <f t="shared" si="402"/>
        <v>0</v>
      </c>
      <c r="AF788" s="10"/>
      <c r="AG788" s="61"/>
      <c r="AH788" s="59"/>
      <c r="AI788" s="59"/>
      <c r="AJ788" s="62"/>
      <c r="AK788" s="10"/>
      <c r="AL788" s="61"/>
      <c r="AM788" s="59"/>
      <c r="AN788" s="35">
        <f>SUM(AL788:AM788)</f>
        <v>0</v>
      </c>
      <c r="AO788" s="279"/>
      <c r="AP788" s="279"/>
      <c r="AQ788" s="281"/>
      <c r="AR788" s="59"/>
      <c r="AS788" s="59"/>
      <c r="AT788" s="59"/>
      <c r="AU788" s="59"/>
      <c r="AV788" s="62"/>
      <c r="AW788" s="10"/>
      <c r="AX788" s="326"/>
      <c r="AY788" s="5" t="str">
        <f t="shared" si="406"/>
        <v/>
      </c>
      <c r="AZ788" s="10"/>
      <c r="BA788" s="364"/>
      <c r="BB788" s="303"/>
      <c r="BC788" s="10"/>
      <c r="BD788" s="10"/>
      <c r="BE788" s="10"/>
      <c r="BF788" s="10"/>
      <c r="BG788" s="5"/>
      <c r="BH788" s="30"/>
      <c r="BJ788" s="327"/>
      <c r="BK788" s="327"/>
      <c r="BL788" s="320">
        <f>BK788-BJ788</f>
        <v>0</v>
      </c>
      <c r="BM788" s="5"/>
      <c r="BN788" s="10"/>
      <c r="BO788" s="8"/>
      <c r="BP788" s="5"/>
      <c r="BQ788" s="10"/>
      <c r="BR788" s="29">
        <v>2014</v>
      </c>
      <c r="BS788" s="64">
        <v>2012</v>
      </c>
      <c r="BT788" s="14">
        <v>19</v>
      </c>
      <c r="BU788" s="10"/>
      <c r="BV788" s="8"/>
      <c r="BW788" s="59"/>
      <c r="BX788" s="59"/>
      <c r="BY788" s="59"/>
      <c r="BZ788" s="59"/>
      <c r="CA788" s="59"/>
      <c r="CB788" s="221"/>
      <c r="CC788" s="59"/>
      <c r="CD788" s="59"/>
      <c r="CE788" s="222"/>
      <c r="CF788" s="221"/>
      <c r="CG788" s="59"/>
      <c r="CH788" s="59"/>
      <c r="CI788" s="59"/>
      <c r="CJ788" s="59"/>
      <c r="CK788" s="59"/>
      <c r="CL788" s="59"/>
      <c r="CM788" s="59"/>
      <c r="CN788" s="59"/>
      <c r="CO788" s="59"/>
      <c r="CP788" s="59"/>
      <c r="CQ788" s="59"/>
      <c r="CR788" s="221"/>
      <c r="CS788" s="59"/>
      <c r="CT788" s="59"/>
      <c r="CU788" s="221"/>
      <c r="CV788" s="59"/>
      <c r="CW788" s="59"/>
      <c r="CX788" s="59"/>
      <c r="CY788" s="59"/>
      <c r="CZ788" s="59"/>
      <c r="DA788" s="59"/>
      <c r="DB788" s="59"/>
      <c r="DC788" s="59"/>
      <c r="DD788" s="59"/>
      <c r="DE788" s="59"/>
      <c r="DF788" s="59"/>
      <c r="DG788" s="59"/>
      <c r="DH788" s="59"/>
      <c r="DI788" s="59"/>
      <c r="DJ788" s="59"/>
      <c r="DK788" s="59"/>
      <c r="DL788" s="221"/>
      <c r="DM788" s="59"/>
      <c r="DN788" s="59"/>
      <c r="DO788" s="59"/>
      <c r="DP788" s="59"/>
      <c r="DQ788" s="59"/>
      <c r="DR788" s="59"/>
      <c r="DS788" s="59"/>
      <c r="DT788" s="59"/>
      <c r="DU788" s="59"/>
      <c r="DV788" s="38">
        <f t="shared" si="405"/>
        <v>0</v>
      </c>
      <c r="DW788" s="14" t="str">
        <f t="shared" si="404"/>
        <v/>
      </c>
      <c r="DY788" s="366">
        <f t="shared" si="408"/>
        <v>0</v>
      </c>
    </row>
    <row r="789" spans="1:130" s="366" customFormat="1">
      <c r="A789" s="210">
        <v>41562</v>
      </c>
      <c r="B789" s="211"/>
      <c r="C789" s="61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35">
        <f t="shared" si="407"/>
        <v>0</v>
      </c>
      <c r="T789" s="59"/>
      <c r="U789" s="59"/>
      <c r="V789" s="59"/>
      <c r="W789" s="59"/>
      <c r="X789" s="5"/>
      <c r="Y789" s="10"/>
      <c r="Z789" s="61"/>
      <c r="AA789" s="101"/>
      <c r="AB789" s="101"/>
      <c r="AC789" s="61"/>
      <c r="AD789" s="59"/>
      <c r="AE789" s="35">
        <f t="shared" si="402"/>
        <v>0</v>
      </c>
      <c r="AF789" s="10"/>
      <c r="AG789" s="61"/>
      <c r="AH789" s="59"/>
      <c r="AI789" s="59"/>
      <c r="AJ789" s="62"/>
      <c r="AK789" s="10"/>
      <c r="AL789" s="8"/>
      <c r="AM789" s="59"/>
      <c r="AN789" s="35"/>
      <c r="AO789" s="279"/>
      <c r="AP789" s="279"/>
      <c r="AQ789" s="281"/>
      <c r="AR789" s="59"/>
      <c r="AS789" s="59"/>
      <c r="AT789" s="59"/>
      <c r="AU789" s="59"/>
      <c r="AV789" s="62"/>
      <c r="AW789" s="10"/>
      <c r="AX789" s="326"/>
      <c r="AY789" s="5" t="str">
        <f t="shared" si="406"/>
        <v/>
      </c>
      <c r="AZ789" s="10"/>
      <c r="BA789" s="364"/>
      <c r="BB789" s="303"/>
      <c r="BC789" s="10"/>
      <c r="BD789" s="10"/>
      <c r="BE789" s="10"/>
      <c r="BF789" s="10"/>
      <c r="BG789" s="5"/>
      <c r="BH789" s="30"/>
      <c r="BJ789" s="327"/>
      <c r="BK789" s="327"/>
      <c r="BL789" s="320"/>
      <c r="BM789" s="5"/>
      <c r="BN789" s="10"/>
      <c r="BO789" s="8"/>
      <c r="BP789" s="5"/>
      <c r="BQ789" s="10"/>
      <c r="BR789" s="29">
        <v>2014</v>
      </c>
      <c r="BS789" s="64">
        <v>2012</v>
      </c>
      <c r="BT789" s="14">
        <v>20</v>
      </c>
      <c r="BU789" s="10"/>
      <c r="BV789" s="8"/>
      <c r="BW789" s="59"/>
      <c r="BX789" s="59"/>
      <c r="BY789" s="59"/>
      <c r="BZ789" s="59"/>
      <c r="CA789" s="59"/>
      <c r="CB789" s="221"/>
      <c r="CC789" s="59"/>
      <c r="CD789" s="59"/>
      <c r="CE789" s="222"/>
      <c r="CF789" s="221"/>
      <c r="CG789" s="59"/>
      <c r="CH789" s="59"/>
      <c r="CI789" s="59"/>
      <c r="CJ789" s="59"/>
      <c r="CK789" s="59"/>
      <c r="CL789" s="59"/>
      <c r="CM789" s="59"/>
      <c r="CN789" s="59"/>
      <c r="CO789" s="59"/>
      <c r="CP789" s="59"/>
      <c r="CQ789" s="59"/>
      <c r="CR789" s="221"/>
      <c r="CS789" s="59"/>
      <c r="CT789" s="59"/>
      <c r="CU789" s="221"/>
      <c r="CV789" s="59"/>
      <c r="CW789" s="59"/>
      <c r="CX789" s="59"/>
      <c r="CY789" s="59"/>
      <c r="CZ789" s="59"/>
      <c r="DA789" s="59"/>
      <c r="DB789" s="59"/>
      <c r="DC789" s="59"/>
      <c r="DD789" s="59"/>
      <c r="DE789" s="59"/>
      <c r="DF789" s="59"/>
      <c r="DG789" s="59"/>
      <c r="DH789" s="59"/>
      <c r="DI789" s="59"/>
      <c r="DJ789" s="59"/>
      <c r="DK789" s="59"/>
      <c r="DL789" s="221"/>
      <c r="DM789" s="59"/>
      <c r="DN789" s="59"/>
      <c r="DO789" s="59"/>
      <c r="DP789" s="59"/>
      <c r="DQ789" s="59"/>
      <c r="DR789" s="59"/>
      <c r="DS789" s="59"/>
      <c r="DT789" s="59"/>
      <c r="DU789" s="59"/>
      <c r="DV789" s="38">
        <f t="shared" si="405"/>
        <v>0</v>
      </c>
      <c r="DW789" s="14" t="str">
        <f t="shared" si="404"/>
        <v/>
      </c>
      <c r="DY789" s="366">
        <f t="shared" si="408"/>
        <v>0</v>
      </c>
    </row>
    <row r="790" spans="1:130" s="366" customFormat="1">
      <c r="A790" s="210">
        <v>41579</v>
      </c>
      <c r="B790" s="211"/>
      <c r="C790" s="61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35">
        <f t="shared" si="407"/>
        <v>0</v>
      </c>
      <c r="T790" s="59"/>
      <c r="U790" s="59"/>
      <c r="V790" s="59"/>
      <c r="W790" s="59"/>
      <c r="X790" s="5"/>
      <c r="Y790" s="10"/>
      <c r="Z790" s="61"/>
      <c r="AA790" s="101"/>
      <c r="AB790" s="101"/>
      <c r="AC790" s="61"/>
      <c r="AD790" s="59"/>
      <c r="AE790" s="35">
        <f t="shared" si="402"/>
        <v>0</v>
      </c>
      <c r="AF790" s="10"/>
      <c r="AG790" s="61"/>
      <c r="AH790" s="59"/>
      <c r="AI790" s="59"/>
      <c r="AJ790" s="62"/>
      <c r="AK790" s="10"/>
      <c r="AL790" s="8"/>
      <c r="AM790" s="10"/>
      <c r="AN790" s="35"/>
      <c r="AO790" s="279"/>
      <c r="AP790" s="279"/>
      <c r="AQ790" s="281"/>
      <c r="AR790" s="59"/>
      <c r="AS790" s="59"/>
      <c r="AT790" s="59"/>
      <c r="AU790" s="59"/>
      <c r="AV790" s="62"/>
      <c r="AW790" s="10"/>
      <c r="AX790" s="326"/>
      <c r="AY790" s="5" t="str">
        <f t="shared" si="406"/>
        <v/>
      </c>
      <c r="AZ790" s="10"/>
      <c r="BA790" s="364"/>
      <c r="BB790" s="303"/>
      <c r="BC790" s="10"/>
      <c r="BD790" s="10"/>
      <c r="BE790" s="10"/>
      <c r="BF790" s="10"/>
      <c r="BG790" s="5"/>
      <c r="BH790" s="30"/>
      <c r="BJ790" s="327"/>
      <c r="BK790" s="327"/>
      <c r="BL790" s="320">
        <f>BK790-BJ790</f>
        <v>0</v>
      </c>
      <c r="BM790" s="62"/>
      <c r="BN790" s="10"/>
      <c r="BO790" s="8"/>
      <c r="BP790" s="5"/>
      <c r="BQ790" s="10"/>
      <c r="BR790" s="29">
        <v>2014</v>
      </c>
      <c r="BS790" s="64">
        <v>2012</v>
      </c>
      <c r="BT790" s="14">
        <v>21</v>
      </c>
      <c r="BU790" s="10"/>
      <c r="BV790" s="8"/>
      <c r="BW790" s="59"/>
      <c r="BX790" s="59"/>
      <c r="BY790" s="59"/>
      <c r="BZ790" s="59"/>
      <c r="CA790" s="59"/>
      <c r="CB790" s="221"/>
      <c r="CC790" s="59"/>
      <c r="CD790" s="59"/>
      <c r="CE790" s="317"/>
      <c r="CF790" s="221"/>
      <c r="CG790" s="59"/>
      <c r="CH790" s="59"/>
      <c r="CI790" s="59"/>
      <c r="CJ790" s="59"/>
      <c r="CK790" s="59"/>
      <c r="CL790" s="59"/>
      <c r="CM790" s="59"/>
      <c r="CN790" s="59"/>
      <c r="CP790" s="59"/>
      <c r="CQ790" s="59"/>
      <c r="CR790" s="221"/>
      <c r="CS790" s="59"/>
      <c r="CT790" s="59"/>
      <c r="CU790" s="221"/>
      <c r="CV790" s="59"/>
      <c r="CW790" s="59"/>
      <c r="CX790" s="59"/>
      <c r="CY790" s="59"/>
      <c r="CZ790" s="59"/>
      <c r="DA790" s="59"/>
      <c r="DB790" s="59"/>
      <c r="DC790" s="59"/>
      <c r="DD790" s="59"/>
      <c r="DE790" s="59"/>
      <c r="DF790" s="59"/>
      <c r="DG790" s="59"/>
      <c r="DH790" s="59"/>
      <c r="DI790" s="59"/>
      <c r="DJ790" s="59"/>
      <c r="DK790" s="59"/>
      <c r="DL790" s="221"/>
      <c r="DM790" s="59"/>
      <c r="DN790" s="59"/>
      <c r="DO790" s="59"/>
      <c r="DP790" s="59"/>
      <c r="DQ790" s="59"/>
      <c r="DR790" s="59"/>
      <c r="DS790" s="59"/>
      <c r="DT790" s="59"/>
      <c r="DU790" s="59"/>
      <c r="DV790" s="38">
        <f t="shared" si="405"/>
        <v>0</v>
      </c>
      <c r="DW790" s="14" t="str">
        <f t="shared" si="404"/>
        <v/>
      </c>
      <c r="DY790" s="366">
        <f t="shared" si="408"/>
        <v>0</v>
      </c>
    </row>
    <row r="791" spans="1:130" s="366" customFormat="1">
      <c r="A791" s="210">
        <v>41593</v>
      </c>
      <c r="B791" s="211"/>
      <c r="C791" s="61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35">
        <f t="shared" si="407"/>
        <v>0</v>
      </c>
      <c r="T791" s="59"/>
      <c r="U791" s="59"/>
      <c r="V791" s="59"/>
      <c r="W791" s="59"/>
      <c r="X791" s="5"/>
      <c r="Y791" s="10"/>
      <c r="Z791" s="61"/>
      <c r="AA791" s="101"/>
      <c r="AB791" s="101"/>
      <c r="AC791" s="61"/>
      <c r="AD791" s="59"/>
      <c r="AE791" s="35">
        <f t="shared" si="402"/>
        <v>0</v>
      </c>
      <c r="AF791" s="10"/>
      <c r="AG791" s="61"/>
      <c r="AH791" s="59"/>
      <c r="AI791" s="59"/>
      <c r="AJ791" s="62"/>
      <c r="AK791" s="10"/>
      <c r="AL791" s="8"/>
      <c r="AM791" s="10"/>
      <c r="AN791" s="35"/>
      <c r="AO791" s="279"/>
      <c r="AP791" s="279"/>
      <c r="AQ791" s="281"/>
      <c r="AR791" s="59"/>
      <c r="AS791" s="59"/>
      <c r="AT791" s="59"/>
      <c r="AU791" s="59"/>
      <c r="AV791" s="62"/>
      <c r="AW791" s="10"/>
      <c r="AX791" s="326"/>
      <c r="AY791" s="5" t="str">
        <f t="shared" si="406"/>
        <v/>
      </c>
      <c r="AZ791" s="10"/>
      <c r="BA791" s="364"/>
      <c r="BB791" s="303"/>
      <c r="BC791" s="10"/>
      <c r="BD791" s="10"/>
      <c r="BE791" s="10"/>
      <c r="BF791" s="10"/>
      <c r="BG791" s="5"/>
      <c r="BH791" s="30"/>
      <c r="BJ791" s="344"/>
      <c r="BK791" s="344"/>
      <c r="BL791" s="321"/>
      <c r="BM791" s="62"/>
      <c r="BN791" s="10"/>
      <c r="BO791" s="8"/>
      <c r="BP791" s="62"/>
      <c r="BQ791" s="10"/>
      <c r="BR791" s="29">
        <v>2014</v>
      </c>
      <c r="BS791" s="64">
        <v>2012</v>
      </c>
      <c r="BT791" s="14">
        <v>22</v>
      </c>
      <c r="BU791" s="10"/>
      <c r="BV791" s="8"/>
      <c r="BW791" s="59"/>
      <c r="BX791" s="59"/>
      <c r="BY791" s="59"/>
      <c r="BZ791" s="59"/>
      <c r="CA791" s="59"/>
      <c r="CB791" s="221"/>
      <c r="CC791" s="59"/>
      <c r="CD791" s="59"/>
      <c r="CE791" s="317"/>
      <c r="CF791" s="221"/>
      <c r="CG791" s="59"/>
      <c r="CH791" s="59"/>
      <c r="CI791" s="59"/>
      <c r="CJ791" s="59"/>
      <c r="CK791" s="59"/>
      <c r="CL791" s="59"/>
      <c r="CM791" s="59"/>
      <c r="CN791" s="59"/>
      <c r="CO791" s="59"/>
      <c r="CP791" s="59"/>
      <c r="CQ791" s="59"/>
      <c r="CR791" s="221"/>
      <c r="CS791" s="59"/>
      <c r="CT791" s="59"/>
      <c r="CU791" s="221"/>
      <c r="CV791" s="59"/>
      <c r="CW791" s="59"/>
      <c r="CX791" s="59"/>
      <c r="CY791" s="59"/>
      <c r="CZ791" s="59"/>
      <c r="DA791" s="59"/>
      <c r="DB791" s="59"/>
      <c r="DC791" s="59"/>
      <c r="DD791" s="59"/>
      <c r="DE791" s="59"/>
      <c r="DF791" s="59"/>
      <c r="DG791" s="59"/>
      <c r="DH791" s="59"/>
      <c r="DI791" s="59"/>
      <c r="DJ791" s="59"/>
      <c r="DK791" s="59"/>
      <c r="DL791" s="221"/>
      <c r="DM791" s="59"/>
      <c r="DN791" s="59"/>
      <c r="DO791" s="59"/>
      <c r="DP791" s="59"/>
      <c r="DQ791" s="59"/>
      <c r="DR791" s="59"/>
      <c r="DS791" s="59"/>
      <c r="DT791" s="59"/>
      <c r="DU791" s="59"/>
      <c r="DV791" s="38">
        <f t="shared" si="405"/>
        <v>0</v>
      </c>
      <c r="DW791" s="14" t="str">
        <f t="shared" si="404"/>
        <v/>
      </c>
      <c r="DY791" s="366">
        <f t="shared" si="408"/>
        <v>0</v>
      </c>
    </row>
    <row r="792" spans="1:130" s="366" customFormat="1">
      <c r="A792" s="210">
        <v>41609</v>
      </c>
      <c r="B792" s="211"/>
      <c r="C792" s="61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35">
        <f t="shared" si="407"/>
        <v>0</v>
      </c>
      <c r="T792" s="59"/>
      <c r="U792" s="59"/>
      <c r="V792" s="59"/>
      <c r="W792" s="59"/>
      <c r="X792" s="5"/>
      <c r="Y792" s="10"/>
      <c r="Z792" s="61"/>
      <c r="AA792" s="101"/>
      <c r="AB792" s="101"/>
      <c r="AC792" s="61"/>
      <c r="AD792" s="59"/>
      <c r="AE792" s="35">
        <f t="shared" si="402"/>
        <v>0</v>
      </c>
      <c r="AF792" s="10"/>
      <c r="AG792" s="61"/>
      <c r="AH792" s="59"/>
      <c r="AI792" s="59"/>
      <c r="AJ792" s="62"/>
      <c r="AK792" s="10"/>
      <c r="AL792" s="8"/>
      <c r="AM792" s="10"/>
      <c r="AN792" s="35"/>
      <c r="AO792" s="279"/>
      <c r="AP792" s="279"/>
      <c r="AQ792" s="281"/>
      <c r="AR792" s="59"/>
      <c r="AS792" s="59"/>
      <c r="AT792" s="59"/>
      <c r="AU792" s="59"/>
      <c r="AV792" s="62"/>
      <c r="AW792" s="10"/>
      <c r="AX792" s="326"/>
      <c r="AY792" s="5" t="str">
        <f t="shared" si="406"/>
        <v/>
      </c>
      <c r="AZ792" s="10"/>
      <c r="BA792" s="364"/>
      <c r="BB792" s="303"/>
      <c r="BC792" s="10"/>
      <c r="BD792" s="10"/>
      <c r="BE792" s="10"/>
      <c r="BF792" s="10"/>
      <c r="BG792" s="5"/>
      <c r="BH792" s="30"/>
      <c r="BJ792" s="327"/>
      <c r="BK792" s="327"/>
      <c r="BL792" s="320">
        <f>BK792-BJ792</f>
        <v>0</v>
      </c>
      <c r="BM792" s="62"/>
      <c r="BN792" s="10"/>
      <c r="BO792" s="8"/>
      <c r="BP792" s="5"/>
      <c r="BQ792" s="10"/>
      <c r="BR792" s="29">
        <v>2014</v>
      </c>
      <c r="BS792" s="64">
        <v>2012</v>
      </c>
      <c r="BT792" s="14">
        <v>23</v>
      </c>
      <c r="BU792" s="10"/>
      <c r="BV792" s="8"/>
      <c r="BW792" s="59"/>
      <c r="BX792" s="59"/>
      <c r="BY792" s="59"/>
      <c r="BZ792" s="59"/>
      <c r="CA792" s="59"/>
      <c r="CB792" s="221"/>
      <c r="CC792" s="59"/>
      <c r="CD792" s="59"/>
      <c r="CE792" s="317"/>
      <c r="CF792" s="221"/>
      <c r="CG792" s="59"/>
      <c r="CH792" s="59"/>
      <c r="CI792" s="59"/>
      <c r="CJ792" s="59"/>
      <c r="CK792" s="59"/>
      <c r="CL792" s="59"/>
      <c r="CM792" s="59"/>
      <c r="CN792" s="59"/>
      <c r="CO792" s="59"/>
      <c r="CP792" s="59"/>
      <c r="CQ792" s="59"/>
      <c r="CR792" s="221"/>
      <c r="CS792" s="59"/>
      <c r="CT792" s="59"/>
      <c r="CU792" s="221"/>
      <c r="CV792" s="59"/>
      <c r="CW792" s="59"/>
      <c r="CX792" s="59"/>
      <c r="CY792" s="59"/>
      <c r="CZ792" s="59"/>
      <c r="DA792" s="59"/>
      <c r="DB792" s="59"/>
      <c r="DC792" s="59"/>
      <c r="DD792" s="59"/>
      <c r="DE792" s="59"/>
      <c r="DF792" s="59"/>
      <c r="DG792" s="59"/>
      <c r="DH792" s="59"/>
      <c r="DI792" s="59"/>
      <c r="DJ792" s="59"/>
      <c r="DK792" s="59"/>
      <c r="DL792" s="221"/>
      <c r="DM792" s="59"/>
      <c r="DN792" s="59"/>
      <c r="DO792" s="59"/>
      <c r="DP792" s="59"/>
      <c r="DQ792" s="59"/>
      <c r="DR792" s="59"/>
      <c r="DS792" s="59"/>
      <c r="DT792" s="59"/>
      <c r="DU792" s="59"/>
      <c r="DV792" s="38">
        <f t="shared" si="405"/>
        <v>0</v>
      </c>
      <c r="DW792" s="14" t="str">
        <f t="shared" si="404"/>
        <v/>
      </c>
      <c r="DY792" s="366">
        <f t="shared" si="408"/>
        <v>0</v>
      </c>
    </row>
    <row r="793" spans="1:130" s="366" customFormat="1">
      <c r="A793" s="210">
        <v>41623</v>
      </c>
      <c r="B793" s="211"/>
      <c r="C793" s="61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35">
        <f t="shared" si="407"/>
        <v>0</v>
      </c>
      <c r="T793" s="59"/>
      <c r="U793" s="59"/>
      <c r="V793" s="59"/>
      <c r="W793" s="59"/>
      <c r="X793" s="5"/>
      <c r="Y793" s="59"/>
      <c r="Z793" s="61"/>
      <c r="AA793" s="101"/>
      <c r="AB793" s="101"/>
      <c r="AC793" s="61"/>
      <c r="AD793" s="59"/>
      <c r="AE793" s="35">
        <f t="shared" si="402"/>
        <v>0</v>
      </c>
      <c r="AF793" s="10"/>
      <c r="AG793" s="61"/>
      <c r="AH793" s="59"/>
      <c r="AI793" s="59"/>
      <c r="AJ793" s="62"/>
      <c r="AK793" s="10"/>
      <c r="AL793" s="8"/>
      <c r="AM793" s="10"/>
      <c r="AN793" s="35"/>
      <c r="AO793" s="279"/>
      <c r="AP793" s="279"/>
      <c r="AQ793" s="281"/>
      <c r="AR793" s="59"/>
      <c r="AS793" s="59"/>
      <c r="AT793" s="59"/>
      <c r="AU793" s="59"/>
      <c r="AV793" s="62"/>
      <c r="AW793" s="10"/>
      <c r="AX793" s="326"/>
      <c r="AY793" s="5" t="str">
        <f t="shared" si="406"/>
        <v/>
      </c>
      <c r="AZ793" s="10"/>
      <c r="BA793" s="364"/>
      <c r="BB793" s="303"/>
      <c r="BC793" s="10"/>
      <c r="BD793" s="10"/>
      <c r="BE793" s="10"/>
      <c r="BF793" s="10"/>
      <c r="BG793" s="5"/>
      <c r="BH793" s="30"/>
      <c r="BJ793" s="327"/>
      <c r="BK793" s="327"/>
      <c r="BL793" s="320"/>
      <c r="BM793" s="62"/>
      <c r="BN793" s="10"/>
      <c r="BO793" s="8"/>
      <c r="BP793" s="5"/>
      <c r="BQ793" s="10"/>
      <c r="BR793" s="29">
        <v>2014</v>
      </c>
      <c r="BS793" s="64">
        <v>2012</v>
      </c>
      <c r="BT793" s="14">
        <v>24</v>
      </c>
      <c r="BU793" s="10"/>
      <c r="BV793" s="8"/>
      <c r="BW793" s="59"/>
      <c r="BX793" s="59"/>
      <c r="BY793" s="59"/>
      <c r="BZ793" s="59"/>
      <c r="CA793" s="59"/>
      <c r="CB793" s="221"/>
      <c r="CC793" s="59"/>
      <c r="CD793" s="59"/>
      <c r="CE793" s="317"/>
      <c r="CF793" s="221"/>
      <c r="CG793" s="59"/>
      <c r="CH793" s="59"/>
      <c r="CI793" s="59"/>
      <c r="CJ793" s="59"/>
      <c r="CK793" s="59"/>
      <c r="CL793" s="59"/>
      <c r="CM793" s="59"/>
      <c r="CN793" s="59"/>
      <c r="CO793" s="59"/>
      <c r="CP793" s="59"/>
      <c r="CQ793" s="59"/>
      <c r="CR793" s="221"/>
      <c r="CS793" s="59"/>
      <c r="CT793" s="59"/>
      <c r="CU793" s="221"/>
      <c r="CV793" s="59"/>
      <c r="CW793" s="59"/>
      <c r="CX793" s="59"/>
      <c r="CY793" s="59"/>
      <c r="CZ793" s="59"/>
      <c r="DA793" s="59"/>
      <c r="DB793" s="59"/>
      <c r="DC793" s="59"/>
      <c r="DD793" s="59"/>
      <c r="DE793" s="59"/>
      <c r="DF793" s="59"/>
      <c r="DG793" s="59"/>
      <c r="DH793" s="59"/>
      <c r="DI793" s="59"/>
      <c r="DJ793" s="59"/>
      <c r="DK793" s="59"/>
      <c r="DL793" s="221"/>
      <c r="DM793" s="59"/>
      <c r="DN793" s="59"/>
      <c r="DO793" s="59"/>
      <c r="DP793" s="59"/>
      <c r="DQ793" s="59"/>
      <c r="DR793" s="59"/>
      <c r="DS793" s="59"/>
      <c r="DT793" s="59"/>
      <c r="DU793" s="59"/>
      <c r="DV793" s="38">
        <f t="shared" si="405"/>
        <v>0</v>
      </c>
      <c r="DW793" s="14" t="str">
        <f t="shared" si="404"/>
        <v/>
      </c>
      <c r="DY793" s="366">
        <f t="shared" si="408"/>
        <v>0</v>
      </c>
      <c r="DZ793" s="366" t="str">
        <f t="shared" ref="DZ793:DZ805" si="409">IF(DV793-DY793=0,"",DV793-DY793)</f>
        <v/>
      </c>
    </row>
    <row r="794" spans="1:130" s="366" customFormat="1">
      <c r="A794" s="210">
        <v>41640</v>
      </c>
      <c r="B794" s="211"/>
      <c r="C794" s="8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35">
        <f t="shared" si="407"/>
        <v>0</v>
      </c>
      <c r="U794" s="59"/>
      <c r="V794" s="59"/>
      <c r="W794" s="59"/>
      <c r="X794" s="62"/>
      <c r="Y794" s="30"/>
      <c r="Z794" s="61"/>
      <c r="AC794" s="8"/>
      <c r="AE794" s="35">
        <f t="shared" si="402"/>
        <v>0</v>
      </c>
      <c r="AG794" s="8"/>
      <c r="AH794" s="59"/>
      <c r="AI794" s="59"/>
      <c r="AJ794" s="62"/>
      <c r="AK794" s="10"/>
      <c r="AL794" s="61"/>
      <c r="AM794" s="59"/>
      <c r="AN794" s="35">
        <f>SUM(AL794:AM794)</f>
        <v>0</v>
      </c>
      <c r="AO794" s="279"/>
      <c r="AP794" s="279"/>
      <c r="AQ794" s="281"/>
      <c r="AR794" s="59"/>
      <c r="AS794" s="59"/>
      <c r="AT794" s="59"/>
      <c r="AU794" s="59"/>
      <c r="AV794" s="62"/>
      <c r="AW794" s="10"/>
      <c r="AX794" s="326"/>
      <c r="AY794" s="5" t="str">
        <f t="shared" si="406"/>
        <v/>
      </c>
      <c r="AZ794" s="10"/>
      <c r="BA794" s="364"/>
      <c r="BB794" s="303"/>
      <c r="BC794" s="10"/>
      <c r="BD794" s="10"/>
      <c r="BE794" s="10"/>
      <c r="BF794" s="10"/>
      <c r="BG794" s="5"/>
      <c r="BH794" s="30"/>
      <c r="BJ794" s="327"/>
      <c r="BK794" s="327"/>
      <c r="BL794" s="320">
        <f>BK794-BJ794</f>
        <v>0</v>
      </c>
      <c r="BM794" s="62"/>
      <c r="BN794" s="10"/>
      <c r="BO794" s="8"/>
      <c r="BP794" s="5"/>
      <c r="BQ794" s="10"/>
      <c r="BR794" s="29">
        <v>2014</v>
      </c>
      <c r="BS794" s="64">
        <v>2014</v>
      </c>
      <c r="BT794" s="14">
        <v>1</v>
      </c>
      <c r="BU794" s="10"/>
      <c r="BV794" s="8"/>
      <c r="BW794" s="59"/>
      <c r="BX794" s="59"/>
      <c r="BY794" s="59"/>
      <c r="BZ794" s="59"/>
      <c r="CA794" s="59"/>
      <c r="CB794" s="221"/>
      <c r="CC794" s="59"/>
      <c r="CD794" s="59"/>
      <c r="CE794" s="317"/>
      <c r="CF794" s="221"/>
      <c r="CG794" s="59"/>
      <c r="CH794" s="59"/>
      <c r="CI794" s="59"/>
      <c r="CJ794" s="59"/>
      <c r="CK794" s="59"/>
      <c r="CL794" s="59"/>
      <c r="CM794" s="59"/>
      <c r="CN794" s="59"/>
      <c r="CO794" s="59"/>
      <c r="CP794" s="59"/>
      <c r="CQ794" s="59"/>
      <c r="CR794" s="221"/>
      <c r="CS794" s="59"/>
      <c r="CT794" s="59"/>
      <c r="CU794" s="221"/>
      <c r="CV794" s="59"/>
      <c r="CW794" s="59"/>
      <c r="CX794" s="59"/>
      <c r="CY794" s="59"/>
      <c r="CZ794" s="59"/>
      <c r="DA794" s="59"/>
      <c r="DB794" s="59"/>
      <c r="DC794" s="59"/>
      <c r="DD794" s="59"/>
      <c r="DE794" s="59"/>
      <c r="DF794" s="59"/>
      <c r="DG794" s="59"/>
      <c r="DH794" s="59"/>
      <c r="DI794" s="59"/>
      <c r="DJ794" s="59"/>
      <c r="DK794" s="59"/>
      <c r="DL794" s="221"/>
      <c r="DM794" s="59"/>
      <c r="DN794" s="59"/>
      <c r="DO794" s="59"/>
      <c r="DP794" s="59"/>
      <c r="DQ794" s="59"/>
      <c r="DR794" s="59"/>
      <c r="DS794" s="59"/>
      <c r="DT794" s="59"/>
      <c r="DU794" s="59"/>
      <c r="DV794" s="38">
        <f t="shared" si="405"/>
        <v>0</v>
      </c>
      <c r="DW794" s="14" t="str">
        <f t="shared" si="404"/>
        <v/>
      </c>
      <c r="DY794" s="366">
        <f t="shared" si="408"/>
        <v>0</v>
      </c>
      <c r="DZ794" s="366" t="str">
        <f t="shared" si="409"/>
        <v/>
      </c>
    </row>
    <row r="795" spans="1:130" s="366" customFormat="1">
      <c r="A795" s="210">
        <v>41654</v>
      </c>
      <c r="B795" s="211"/>
      <c r="C795" s="8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35">
        <f t="shared" si="407"/>
        <v>0</v>
      </c>
      <c r="U795" s="59"/>
      <c r="V795" s="59"/>
      <c r="W795" s="59"/>
      <c r="X795" s="62"/>
      <c r="Y795" s="30"/>
      <c r="Z795" s="61"/>
      <c r="AC795" s="8"/>
      <c r="AE795" s="35">
        <f t="shared" si="402"/>
        <v>0</v>
      </c>
      <c r="AG795" s="8"/>
      <c r="AH795" s="59"/>
      <c r="AI795" s="59"/>
      <c r="AJ795" s="62"/>
      <c r="AK795" s="10"/>
      <c r="AL795" s="8"/>
      <c r="AM795" s="10"/>
      <c r="AN795" s="35"/>
      <c r="AO795" s="279"/>
      <c r="AP795" s="279"/>
      <c r="AQ795" s="281"/>
      <c r="AR795" s="59"/>
      <c r="AS795" s="59"/>
      <c r="AT795" s="59"/>
      <c r="AU795" s="59"/>
      <c r="AV795" s="62"/>
      <c r="AW795" s="10"/>
      <c r="AX795" s="326"/>
      <c r="AY795" s="5" t="str">
        <f t="shared" si="406"/>
        <v/>
      </c>
      <c r="AZ795" s="10"/>
      <c r="BA795" s="365"/>
      <c r="BB795" s="307"/>
      <c r="BC795" s="59"/>
      <c r="BD795" s="59"/>
      <c r="BE795" s="59"/>
      <c r="BF795" s="59"/>
      <c r="BG795" s="62"/>
      <c r="BH795" s="351"/>
      <c r="BI795" s="59"/>
      <c r="BJ795" s="342"/>
      <c r="BK795" s="342"/>
      <c r="BL795" s="320"/>
      <c r="BM795" s="62"/>
      <c r="BN795" s="10"/>
      <c r="BO795" s="8"/>
      <c r="BP795" s="62"/>
      <c r="BQ795" s="10"/>
      <c r="BR795" s="29">
        <v>2014</v>
      </c>
      <c r="BS795" s="64">
        <v>2014</v>
      </c>
      <c r="BT795" s="14">
        <v>2</v>
      </c>
      <c r="BU795" s="10"/>
      <c r="BV795" s="8"/>
      <c r="BW795" s="59"/>
      <c r="BX795" s="59"/>
      <c r="BY795" s="59"/>
      <c r="BZ795" s="59"/>
      <c r="CA795" s="59"/>
      <c r="CB795" s="221"/>
      <c r="CC795" s="59"/>
      <c r="CD795" s="59"/>
      <c r="CE795" s="317"/>
      <c r="CF795" s="221"/>
      <c r="CG795" s="59"/>
      <c r="CH795" s="59"/>
      <c r="CI795" s="59"/>
      <c r="CJ795" s="59"/>
      <c r="CK795" s="59"/>
      <c r="CL795" s="59"/>
      <c r="CM795" s="59"/>
      <c r="CN795" s="59"/>
      <c r="CO795" s="59"/>
      <c r="CP795" s="59"/>
      <c r="CQ795" s="59"/>
      <c r="CR795" s="221"/>
      <c r="CS795" s="59"/>
      <c r="CT795" s="59"/>
      <c r="CU795" s="221"/>
      <c r="CV795" s="59"/>
      <c r="CW795" s="59"/>
      <c r="CX795" s="59"/>
      <c r="CY795" s="59"/>
      <c r="CZ795" s="59"/>
      <c r="DA795" s="59"/>
      <c r="DB795" s="59"/>
      <c r="DC795" s="59"/>
      <c r="DD795" s="59"/>
      <c r="DE795" s="59"/>
      <c r="DF795" s="59"/>
      <c r="DG795" s="59"/>
      <c r="DH795" s="59"/>
      <c r="DI795" s="59"/>
      <c r="DJ795" s="59"/>
      <c r="DK795" s="59"/>
      <c r="DL795" s="221"/>
      <c r="DM795" s="59"/>
      <c r="DN795" s="59"/>
      <c r="DO795" s="59"/>
      <c r="DP795" s="59"/>
      <c r="DQ795" s="59"/>
      <c r="DR795" s="59"/>
      <c r="DS795" s="59"/>
      <c r="DT795" s="59"/>
      <c r="DU795" s="59"/>
      <c r="DV795" s="38">
        <f t="shared" si="405"/>
        <v>0</v>
      </c>
      <c r="DW795" s="14" t="str">
        <f t="shared" si="404"/>
        <v/>
      </c>
      <c r="DY795" s="366">
        <f t="shared" si="408"/>
        <v>0</v>
      </c>
      <c r="DZ795" s="366" t="str">
        <f t="shared" si="409"/>
        <v/>
      </c>
    </row>
    <row r="796" spans="1:130" s="366" customFormat="1">
      <c r="A796" s="210">
        <v>41671</v>
      </c>
      <c r="B796" s="211"/>
      <c r="C796" s="61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35">
        <f t="shared" si="407"/>
        <v>0</v>
      </c>
      <c r="T796" s="59"/>
      <c r="U796" s="59"/>
      <c r="V796" s="59"/>
      <c r="W796" s="59"/>
      <c r="X796" s="62"/>
      <c r="Y796" s="10"/>
      <c r="Z796" s="61"/>
      <c r="AA796" s="101"/>
      <c r="AB796" s="101"/>
      <c r="AC796" s="61"/>
      <c r="AD796" s="59"/>
      <c r="AE796" s="35">
        <f t="shared" si="402"/>
        <v>0</v>
      </c>
      <c r="AF796" s="10"/>
      <c r="AG796" s="61"/>
      <c r="AH796" s="59"/>
      <c r="AI796" s="59"/>
      <c r="AJ796" s="62"/>
      <c r="AK796" s="10"/>
      <c r="AL796" s="8"/>
      <c r="AM796" s="10"/>
      <c r="AN796" s="35"/>
      <c r="AO796" s="279"/>
      <c r="AP796" s="279"/>
      <c r="AQ796" s="281"/>
      <c r="AR796" s="59"/>
      <c r="AS796" s="59"/>
      <c r="AT796" s="59"/>
      <c r="AU796" s="59"/>
      <c r="AV796" s="62"/>
      <c r="AW796" s="10"/>
      <c r="AX796" s="326"/>
      <c r="AY796" s="5" t="str">
        <f t="shared" si="406"/>
        <v/>
      </c>
      <c r="AZ796" s="10"/>
      <c r="BA796" s="364"/>
      <c r="BB796" s="303"/>
      <c r="BC796" s="59"/>
      <c r="BD796" s="59"/>
      <c r="BE796" s="307"/>
      <c r="BF796" s="307"/>
      <c r="BG796" s="357"/>
      <c r="BH796" s="30"/>
      <c r="BI796" s="313"/>
      <c r="BJ796" s="342"/>
      <c r="BK796" s="342"/>
      <c r="BL796" s="320">
        <f>BK796-BJ796</f>
        <v>0</v>
      </c>
      <c r="BM796" s="62"/>
      <c r="BN796" s="10"/>
      <c r="BO796" s="8"/>
      <c r="BP796" s="62"/>
      <c r="BQ796" s="10"/>
      <c r="BR796" s="29">
        <v>2014</v>
      </c>
      <c r="BS796" s="64">
        <v>2014</v>
      </c>
      <c r="BT796" s="14">
        <v>3</v>
      </c>
      <c r="BU796" s="10"/>
      <c r="BV796" s="8"/>
      <c r="BW796" s="59"/>
      <c r="BX796" s="59"/>
      <c r="BY796" s="59"/>
      <c r="BZ796" s="59"/>
      <c r="CA796" s="59"/>
      <c r="CB796" s="221"/>
      <c r="CC796" s="59"/>
      <c r="CD796" s="59"/>
      <c r="CE796" s="317"/>
      <c r="CF796" s="221"/>
      <c r="CG796" s="59"/>
      <c r="CH796" s="59"/>
      <c r="CI796" s="59"/>
      <c r="CJ796" s="59"/>
      <c r="CK796" s="59"/>
      <c r="CL796" s="59"/>
      <c r="CM796" s="59"/>
      <c r="CN796" s="59"/>
      <c r="CO796" s="59"/>
      <c r="CP796" s="59"/>
      <c r="CQ796" s="59"/>
      <c r="CR796" s="221"/>
      <c r="CS796" s="59"/>
      <c r="CT796" s="59"/>
      <c r="CU796" s="221"/>
      <c r="CV796" s="59"/>
      <c r="CW796" s="59"/>
      <c r="CX796" s="59"/>
      <c r="CY796" s="59"/>
      <c r="CZ796" s="59"/>
      <c r="DA796" s="59"/>
      <c r="DB796" s="59"/>
      <c r="DC796" s="59"/>
      <c r="DD796" s="59"/>
      <c r="DE796" s="59"/>
      <c r="DF796" s="59"/>
      <c r="DG796" s="59"/>
      <c r="DH796" s="59"/>
      <c r="DI796" s="59"/>
      <c r="DJ796" s="59"/>
      <c r="DK796" s="59"/>
      <c r="DL796" s="221"/>
      <c r="DM796" s="59"/>
      <c r="DN796" s="59"/>
      <c r="DO796" s="59"/>
      <c r="DP796" s="59"/>
      <c r="DQ796" s="59"/>
      <c r="DR796" s="59"/>
      <c r="DS796" s="59"/>
      <c r="DT796" s="59"/>
      <c r="DU796" s="59"/>
      <c r="DV796" s="38">
        <f t="shared" si="405"/>
        <v>0</v>
      </c>
      <c r="DW796" s="14" t="str">
        <f t="shared" si="404"/>
        <v/>
      </c>
      <c r="DY796" s="366">
        <f t="shared" si="408"/>
        <v>0</v>
      </c>
      <c r="DZ796" s="366" t="str">
        <f t="shared" si="409"/>
        <v/>
      </c>
    </row>
    <row r="797" spans="1:130" s="366" customFormat="1">
      <c r="A797" s="210">
        <v>41685</v>
      </c>
      <c r="B797" s="211"/>
      <c r="C797" s="61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35">
        <f t="shared" ref="S797:S801" si="410">SUM(C797:R797)</f>
        <v>0</v>
      </c>
      <c r="T797" s="59"/>
      <c r="U797" s="59"/>
      <c r="V797" s="59"/>
      <c r="W797" s="59"/>
      <c r="X797" s="62"/>
      <c r="Y797" s="10"/>
      <c r="Z797" s="61"/>
      <c r="AA797" s="101"/>
      <c r="AB797" s="101"/>
      <c r="AC797" s="61"/>
      <c r="AD797" s="59"/>
      <c r="AE797" s="35">
        <f t="shared" si="402"/>
        <v>0</v>
      </c>
      <c r="AF797" s="10"/>
      <c r="AG797" s="61"/>
      <c r="AH797" s="59"/>
      <c r="AI797" s="59"/>
      <c r="AJ797" s="62"/>
      <c r="AK797" s="10"/>
      <c r="AL797" s="8"/>
      <c r="AM797" s="10"/>
      <c r="AN797" s="35"/>
      <c r="AO797" s="279"/>
      <c r="AP797" s="279"/>
      <c r="AQ797" s="281"/>
      <c r="AR797" s="59"/>
      <c r="AS797" s="59"/>
      <c r="AT797" s="59"/>
      <c r="AU797" s="59"/>
      <c r="AV797" s="62"/>
      <c r="AW797" s="10"/>
      <c r="AX797" s="326"/>
      <c r="AY797" s="5" t="str">
        <f t="shared" si="406"/>
        <v/>
      </c>
      <c r="AZ797" s="10"/>
      <c r="BA797" s="365"/>
      <c r="BB797" s="307"/>
      <c r="BC797" s="59"/>
      <c r="BD797" s="59"/>
      <c r="BE797" s="59"/>
      <c r="BF797" s="59"/>
      <c r="BG797" s="62"/>
      <c r="BH797" s="351"/>
      <c r="BI797" s="59"/>
      <c r="BJ797" s="342"/>
      <c r="BK797" s="342"/>
      <c r="BL797" s="320"/>
      <c r="BM797" s="62"/>
      <c r="BN797" s="10"/>
      <c r="BO797" s="8"/>
      <c r="BP797" s="62"/>
      <c r="BQ797" s="10"/>
      <c r="BR797" s="29">
        <v>2014</v>
      </c>
      <c r="BS797" s="64">
        <v>2014</v>
      </c>
      <c r="BT797" s="14">
        <v>4</v>
      </c>
      <c r="BU797" s="10"/>
      <c r="BV797" s="8"/>
      <c r="BW797" s="59"/>
      <c r="BX797" s="59"/>
      <c r="BY797" s="59"/>
      <c r="BZ797" s="59"/>
      <c r="CA797" s="59"/>
      <c r="CB797" s="221"/>
      <c r="CC797" s="59"/>
      <c r="CD797" s="59"/>
      <c r="CE797" s="317"/>
      <c r="CF797" s="221"/>
      <c r="CG797" s="59"/>
      <c r="CH797" s="59"/>
      <c r="CI797" s="59"/>
      <c r="CJ797" s="59"/>
      <c r="CK797" s="59"/>
      <c r="CL797" s="59"/>
      <c r="CM797" s="59"/>
      <c r="CN797" s="59"/>
      <c r="CO797" s="59"/>
      <c r="CP797" s="59"/>
      <c r="CQ797" s="59"/>
      <c r="CR797" s="221"/>
      <c r="CS797" s="59"/>
      <c r="CT797" s="59"/>
      <c r="CU797" s="221"/>
      <c r="CV797" s="59"/>
      <c r="CW797" s="59"/>
      <c r="CX797" s="59"/>
      <c r="CY797" s="59"/>
      <c r="CZ797" s="59"/>
      <c r="DA797" s="59"/>
      <c r="DB797" s="59"/>
      <c r="DC797" s="59"/>
      <c r="DD797" s="59"/>
      <c r="DE797" s="59"/>
      <c r="DF797" s="59"/>
      <c r="DG797" s="59"/>
      <c r="DH797" s="59"/>
      <c r="DI797" s="59"/>
      <c r="DJ797" s="59"/>
      <c r="DK797" s="59"/>
      <c r="DL797" s="221"/>
      <c r="DM797" s="59"/>
      <c r="DN797" s="59"/>
      <c r="DO797" s="59"/>
      <c r="DP797" s="59"/>
      <c r="DQ797" s="59"/>
      <c r="DR797" s="59"/>
      <c r="DS797" s="59"/>
      <c r="DT797" s="59"/>
      <c r="DU797" s="59"/>
      <c r="DV797" s="38">
        <f t="shared" si="405"/>
        <v>0</v>
      </c>
      <c r="DW797" s="14" t="str">
        <f t="shared" si="404"/>
        <v/>
      </c>
      <c r="DY797" s="366">
        <f t="shared" si="408"/>
        <v>0</v>
      </c>
      <c r="DZ797" s="366" t="str">
        <f t="shared" si="409"/>
        <v/>
      </c>
    </row>
    <row r="798" spans="1:130" s="366" customFormat="1">
      <c r="A798" s="210">
        <v>41699</v>
      </c>
      <c r="B798" s="211"/>
      <c r="C798" s="61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35">
        <f t="shared" si="410"/>
        <v>0</v>
      </c>
      <c r="T798" s="59"/>
      <c r="U798" s="59"/>
      <c r="V798" s="59"/>
      <c r="W798" s="59"/>
      <c r="X798" s="62"/>
      <c r="Y798" s="10"/>
      <c r="Z798" s="61"/>
      <c r="AA798" s="101"/>
      <c r="AB798" s="101"/>
      <c r="AC798" s="61"/>
      <c r="AD798" s="59"/>
      <c r="AE798" s="35">
        <f t="shared" si="402"/>
        <v>0</v>
      </c>
      <c r="AF798" s="10"/>
      <c r="AG798" s="61"/>
      <c r="AH798" s="59"/>
      <c r="AI798" s="59"/>
      <c r="AJ798" s="62"/>
      <c r="AK798" s="10"/>
      <c r="AL798" s="8"/>
      <c r="AM798" s="10"/>
      <c r="AN798" s="35"/>
      <c r="AO798" s="279"/>
      <c r="AP798" s="279"/>
      <c r="AQ798" s="281"/>
      <c r="AR798" s="59"/>
      <c r="AS798" s="59"/>
      <c r="AT798" s="59"/>
      <c r="AU798" s="59"/>
      <c r="AV798" s="62"/>
      <c r="AW798" s="10"/>
      <c r="AX798" s="326"/>
      <c r="AY798" s="5" t="str">
        <f t="shared" si="406"/>
        <v/>
      </c>
      <c r="AZ798" s="10"/>
      <c r="BA798" s="365"/>
      <c r="BB798" s="303"/>
      <c r="BC798" s="59"/>
      <c r="BD798" s="59"/>
      <c r="BE798" s="307"/>
      <c r="BF798" s="307"/>
      <c r="BG798" s="357"/>
      <c r="BH798" s="30"/>
      <c r="BI798" s="313"/>
      <c r="BJ798" s="342"/>
      <c r="BK798" s="342"/>
      <c r="BL798" s="320">
        <f>BK798-BJ798</f>
        <v>0</v>
      </c>
      <c r="BM798" s="62"/>
      <c r="BN798" s="59"/>
      <c r="BO798" s="61"/>
      <c r="BP798" s="62"/>
      <c r="BQ798" s="10"/>
      <c r="BR798" s="29">
        <v>2014</v>
      </c>
      <c r="BS798" s="64">
        <v>2014</v>
      </c>
      <c r="BT798" s="14">
        <v>5</v>
      </c>
      <c r="BU798" s="10"/>
      <c r="BV798" s="8"/>
      <c r="BW798" s="59"/>
      <c r="BX798" s="59"/>
      <c r="BY798" s="59"/>
      <c r="BZ798" s="59"/>
      <c r="CA798" s="59"/>
      <c r="CB798" s="221"/>
      <c r="CC798" s="59"/>
      <c r="CD798" s="59"/>
      <c r="CE798" s="317"/>
      <c r="CF798" s="221"/>
      <c r="CG798" s="59"/>
      <c r="CH798" s="59"/>
      <c r="CI798" s="59"/>
      <c r="CJ798" s="59"/>
      <c r="CK798" s="59"/>
      <c r="CL798" s="59"/>
      <c r="CM798" s="59"/>
      <c r="CN798" s="59"/>
      <c r="CO798" s="59"/>
      <c r="CP798" s="59"/>
      <c r="CQ798" s="59"/>
      <c r="CR798" s="221"/>
      <c r="CS798" s="59"/>
      <c r="CT798" s="59"/>
      <c r="CU798" s="221"/>
      <c r="CV798" s="59"/>
      <c r="CW798" s="59"/>
      <c r="CX798" s="59"/>
      <c r="CY798" s="59"/>
      <c r="CZ798" s="59"/>
      <c r="DA798" s="59"/>
      <c r="DB798" s="59"/>
      <c r="DC798" s="59"/>
      <c r="DD798" s="59"/>
      <c r="DE798" s="59"/>
      <c r="DF798" s="59"/>
      <c r="DG798" s="59"/>
      <c r="DH798" s="59"/>
      <c r="DI798" s="59"/>
      <c r="DJ798" s="59"/>
      <c r="DK798" s="59"/>
      <c r="DL798" s="221"/>
      <c r="DM798" s="59"/>
      <c r="DN798" s="59"/>
      <c r="DO798" s="59"/>
      <c r="DP798" s="59"/>
      <c r="DQ798" s="59"/>
      <c r="DR798" s="59"/>
      <c r="DS798" s="59"/>
      <c r="DT798" s="59"/>
      <c r="DU798" s="59"/>
      <c r="DV798" s="38">
        <f t="shared" si="405"/>
        <v>0</v>
      </c>
      <c r="DW798" s="14" t="str">
        <f t="shared" si="404"/>
        <v/>
      </c>
      <c r="DY798" s="366">
        <f t="shared" si="408"/>
        <v>0</v>
      </c>
      <c r="DZ798" s="366" t="str">
        <f t="shared" si="409"/>
        <v/>
      </c>
    </row>
    <row r="799" spans="1:130" s="366" customFormat="1">
      <c r="A799" s="210">
        <v>41713</v>
      </c>
      <c r="B799" s="211"/>
      <c r="C799" s="61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35">
        <f t="shared" si="410"/>
        <v>0</v>
      </c>
      <c r="T799" s="59"/>
      <c r="U799" s="59"/>
      <c r="V799" s="59"/>
      <c r="W799" s="59"/>
      <c r="X799" s="62"/>
      <c r="Y799" s="10"/>
      <c r="Z799" s="61"/>
      <c r="AA799" s="101"/>
      <c r="AB799" s="101"/>
      <c r="AC799" s="61"/>
      <c r="AD799" s="59"/>
      <c r="AE799" s="35">
        <f t="shared" si="402"/>
        <v>0</v>
      </c>
      <c r="AF799" s="10"/>
      <c r="AG799" s="61"/>
      <c r="AH799" s="59"/>
      <c r="AI799" s="59"/>
      <c r="AJ799" s="62"/>
      <c r="AK799" s="10"/>
      <c r="AL799" s="8"/>
      <c r="AM799" s="10"/>
      <c r="AN799" s="35"/>
      <c r="AO799" s="279"/>
      <c r="AP799" s="279"/>
      <c r="AQ799" s="281"/>
      <c r="AR799" s="59"/>
      <c r="AS799" s="59"/>
      <c r="AT799" s="59"/>
      <c r="AU799" s="59"/>
      <c r="AV799" s="62"/>
      <c r="AW799" s="10"/>
      <c r="AX799" s="326"/>
      <c r="AY799" s="5" t="str">
        <f t="shared" si="406"/>
        <v/>
      </c>
      <c r="AZ799" s="10"/>
      <c r="BA799" s="365"/>
      <c r="BB799" s="307"/>
      <c r="BC799" s="59"/>
      <c r="BD799" s="59"/>
      <c r="BE799" s="59"/>
      <c r="BF799" s="59"/>
      <c r="BG799" s="62"/>
      <c r="BH799" s="351"/>
      <c r="BI799" s="59"/>
      <c r="BJ799" s="342"/>
      <c r="BK799" s="342"/>
      <c r="BL799" s="320"/>
      <c r="BM799" s="62"/>
      <c r="BN799" s="10"/>
      <c r="BO799" s="8"/>
      <c r="BP799" s="62"/>
      <c r="BQ799" s="10"/>
      <c r="BR799" s="29">
        <v>2014</v>
      </c>
      <c r="BS799" s="64">
        <v>2014</v>
      </c>
      <c r="BT799" s="14">
        <v>6</v>
      </c>
      <c r="BU799" s="10"/>
      <c r="BV799" s="8"/>
      <c r="BW799" s="59"/>
      <c r="BX799" s="59"/>
      <c r="BY799" s="59"/>
      <c r="BZ799" s="59"/>
      <c r="CA799" s="59"/>
      <c r="CB799" s="221"/>
      <c r="CC799" s="59"/>
      <c r="CD799" s="59"/>
      <c r="CE799" s="317"/>
      <c r="CF799" s="221"/>
      <c r="CG799" s="59"/>
      <c r="CH799" s="59"/>
      <c r="CI799" s="59"/>
      <c r="CJ799" s="59"/>
      <c r="CK799" s="59"/>
      <c r="CL799" s="59"/>
      <c r="CM799" s="59"/>
      <c r="CN799" s="59"/>
      <c r="CO799" s="59"/>
      <c r="CP799" s="59"/>
      <c r="CQ799" s="59"/>
      <c r="CR799" s="221"/>
      <c r="CS799" s="59"/>
      <c r="CT799" s="59"/>
      <c r="CU799" s="221"/>
      <c r="CV799" s="59"/>
      <c r="CW799" s="59"/>
      <c r="CX799" s="59"/>
      <c r="CY799" s="59"/>
      <c r="CZ799" s="59"/>
      <c r="DA799" s="59"/>
      <c r="DB799" s="59"/>
      <c r="DC799" s="59"/>
      <c r="DD799" s="59"/>
      <c r="DE799" s="59"/>
      <c r="DF799" s="59"/>
      <c r="DG799" s="59"/>
      <c r="DH799" s="59"/>
      <c r="DI799" s="59"/>
      <c r="DJ799" s="59"/>
      <c r="DK799" s="59"/>
      <c r="DL799" s="221"/>
      <c r="DM799" s="59"/>
      <c r="DN799" s="59"/>
      <c r="DO799" s="59"/>
      <c r="DP799" s="59"/>
      <c r="DQ799" s="59"/>
      <c r="DR799" s="59"/>
      <c r="DS799" s="59"/>
      <c r="DT799" s="59"/>
      <c r="DU799" s="59"/>
      <c r="DV799" s="38">
        <f t="shared" si="405"/>
        <v>0</v>
      </c>
      <c r="DW799" s="14" t="str">
        <f t="shared" si="404"/>
        <v/>
      </c>
      <c r="DY799" s="366">
        <f t="shared" si="408"/>
        <v>0</v>
      </c>
      <c r="DZ799" s="366" t="str">
        <f t="shared" si="409"/>
        <v/>
      </c>
    </row>
    <row r="800" spans="1:130" s="366" customFormat="1">
      <c r="A800" s="210">
        <v>41730</v>
      </c>
      <c r="B800" s="211"/>
      <c r="C800" s="61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35">
        <f t="shared" si="410"/>
        <v>0</v>
      </c>
      <c r="T800" s="59"/>
      <c r="U800" s="59"/>
      <c r="V800" s="59"/>
      <c r="W800" s="59"/>
      <c r="X800" s="62"/>
      <c r="Y800" s="10"/>
      <c r="Z800" s="61"/>
      <c r="AA800" s="101"/>
      <c r="AB800" s="101"/>
      <c r="AC800" s="61"/>
      <c r="AD800" s="59"/>
      <c r="AE800" s="35">
        <f t="shared" si="402"/>
        <v>0</v>
      </c>
      <c r="AF800" s="10"/>
      <c r="AG800" s="61"/>
      <c r="AH800" s="59"/>
      <c r="AI800" s="59"/>
      <c r="AJ800" s="62"/>
      <c r="AK800" s="10"/>
      <c r="AL800" s="8"/>
      <c r="AM800" s="59"/>
      <c r="AN800" s="35">
        <f>SUM(AL800:AM800)</f>
        <v>0</v>
      </c>
      <c r="AO800" s="279"/>
      <c r="AP800" s="279"/>
      <c r="AQ800" s="281"/>
      <c r="AR800" s="59"/>
      <c r="AS800" s="59"/>
      <c r="AT800" s="59"/>
      <c r="AU800" s="59"/>
      <c r="AV800" s="62"/>
      <c r="AW800" s="10"/>
      <c r="AX800" s="326"/>
      <c r="AY800" s="5" t="str">
        <f t="shared" si="406"/>
        <v/>
      </c>
      <c r="AZ800" s="10"/>
      <c r="BA800" s="365"/>
      <c r="BB800" s="307"/>
      <c r="BC800" s="59"/>
      <c r="BD800" s="59"/>
      <c r="BE800" s="59"/>
      <c r="BF800" s="59"/>
      <c r="BG800" s="62"/>
      <c r="BH800" s="30"/>
      <c r="BI800" s="59"/>
      <c r="BJ800" s="342"/>
      <c r="BK800" s="342"/>
      <c r="BL800" s="320">
        <f>BK800-BJ800</f>
        <v>0</v>
      </c>
      <c r="BM800" s="62"/>
      <c r="BN800" s="59"/>
      <c r="BO800" s="61"/>
      <c r="BP800" s="62"/>
      <c r="BQ800" s="10"/>
      <c r="BR800" s="29">
        <v>2014</v>
      </c>
      <c r="BS800" s="64">
        <v>2014</v>
      </c>
      <c r="BT800" s="14">
        <v>7</v>
      </c>
      <c r="BU800" s="10"/>
      <c r="BV800" s="8"/>
      <c r="BW800" s="59"/>
      <c r="BX800" s="59"/>
      <c r="BY800" s="59"/>
      <c r="BZ800" s="59"/>
      <c r="CA800" s="59"/>
      <c r="CB800" s="221"/>
      <c r="CC800" s="59"/>
      <c r="CD800" s="59"/>
      <c r="CE800" s="317"/>
      <c r="CF800" s="221"/>
      <c r="CG800" s="59"/>
      <c r="CH800" s="59"/>
      <c r="CI800" s="59"/>
      <c r="CJ800" s="59"/>
      <c r="CK800" s="59"/>
      <c r="CL800" s="59"/>
      <c r="CM800" s="59"/>
      <c r="CN800" s="59"/>
      <c r="CO800" s="59"/>
      <c r="CP800" s="59"/>
      <c r="CQ800" s="59"/>
      <c r="CR800" s="221"/>
      <c r="CS800" s="59"/>
      <c r="CT800" s="59"/>
      <c r="CU800" s="221"/>
      <c r="CV800" s="59"/>
      <c r="CW800" s="59"/>
      <c r="CX800" s="59"/>
      <c r="CY800" s="59"/>
      <c r="CZ800" s="59"/>
      <c r="DA800" s="59"/>
      <c r="DB800" s="59"/>
      <c r="DC800" s="59"/>
      <c r="DD800" s="59"/>
      <c r="DE800" s="59"/>
      <c r="DF800" s="59"/>
      <c r="DG800" s="59"/>
      <c r="DH800" s="59"/>
      <c r="DI800" s="59"/>
      <c r="DJ800" s="59"/>
      <c r="DK800" s="59"/>
      <c r="DL800" s="221"/>
      <c r="DM800" s="59"/>
      <c r="DN800" s="59"/>
      <c r="DO800" s="59"/>
      <c r="DP800" s="59"/>
      <c r="DQ800" s="59"/>
      <c r="DR800" s="59"/>
      <c r="DS800" s="59"/>
      <c r="DT800" s="59"/>
      <c r="DU800" s="59"/>
      <c r="DV800" s="38">
        <f t="shared" si="405"/>
        <v>0</v>
      </c>
      <c r="DW800" s="14" t="str">
        <f t="shared" si="404"/>
        <v/>
      </c>
      <c r="DY800" s="366">
        <f t="shared" si="408"/>
        <v>0</v>
      </c>
      <c r="DZ800" s="366" t="str">
        <f t="shared" si="409"/>
        <v/>
      </c>
    </row>
    <row r="801" spans="1:130" s="366" customFormat="1">
      <c r="A801" s="210">
        <v>41744</v>
      </c>
      <c r="B801" s="211"/>
      <c r="C801" s="61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35">
        <f t="shared" si="410"/>
        <v>0</v>
      </c>
      <c r="T801" s="59"/>
      <c r="U801" s="59"/>
      <c r="V801" s="59"/>
      <c r="W801" s="59"/>
      <c r="X801" s="62"/>
      <c r="Y801" s="10"/>
      <c r="Z801" s="61"/>
      <c r="AA801" s="101"/>
      <c r="AB801" s="101"/>
      <c r="AC801" s="61"/>
      <c r="AD801" s="59"/>
      <c r="AE801" s="35">
        <f t="shared" si="402"/>
        <v>0</v>
      </c>
      <c r="AF801" s="10"/>
      <c r="AG801" s="61"/>
      <c r="AH801" s="59"/>
      <c r="AI801" s="59"/>
      <c r="AJ801" s="62"/>
      <c r="AK801" s="10"/>
      <c r="AL801" s="8"/>
      <c r="AM801" s="10"/>
      <c r="AN801" s="35"/>
      <c r="AO801" s="279"/>
      <c r="AP801" s="279"/>
      <c r="AQ801" s="281"/>
      <c r="AR801" s="59"/>
      <c r="AS801" s="59"/>
      <c r="AT801" s="59"/>
      <c r="AU801" s="59"/>
      <c r="AV801" s="62"/>
      <c r="AW801" s="10"/>
      <c r="AX801" s="326"/>
      <c r="AY801" s="5" t="str">
        <f t="shared" si="406"/>
        <v/>
      </c>
      <c r="AZ801" s="10"/>
      <c r="BA801" s="365"/>
      <c r="BB801" s="307"/>
      <c r="BC801" s="59"/>
      <c r="BD801" s="59"/>
      <c r="BE801" s="59"/>
      <c r="BF801" s="59"/>
      <c r="BG801" s="62"/>
      <c r="BH801" s="351"/>
      <c r="BI801" s="59"/>
      <c r="BJ801" s="342"/>
      <c r="BK801" s="342"/>
      <c r="BL801" s="320"/>
      <c r="BM801" s="62"/>
      <c r="BN801" s="10"/>
      <c r="BO801" s="8"/>
      <c r="BP801" s="62"/>
      <c r="BQ801" s="10"/>
      <c r="BR801" s="29">
        <v>2014</v>
      </c>
      <c r="BS801" s="64">
        <v>2014</v>
      </c>
      <c r="BT801" s="14">
        <v>8</v>
      </c>
      <c r="BU801" s="10"/>
      <c r="BV801" s="8"/>
      <c r="BW801" s="59"/>
      <c r="BX801" s="59"/>
      <c r="BY801" s="59"/>
      <c r="BZ801" s="59"/>
      <c r="CA801" s="59"/>
      <c r="CB801" s="221"/>
      <c r="CC801" s="59"/>
      <c r="CD801" s="59"/>
      <c r="CE801" s="317"/>
      <c r="CF801" s="221"/>
      <c r="CG801" s="59"/>
      <c r="CH801" s="59"/>
      <c r="CI801" s="59"/>
      <c r="CJ801" s="59"/>
      <c r="CK801" s="59"/>
      <c r="CL801" s="59"/>
      <c r="CM801" s="59"/>
      <c r="CN801" s="59"/>
      <c r="CO801" s="59"/>
      <c r="CP801" s="59"/>
      <c r="CQ801" s="59"/>
      <c r="CR801" s="221"/>
      <c r="CS801" s="59"/>
      <c r="CT801" s="59"/>
      <c r="CU801" s="221"/>
      <c r="CV801" s="59"/>
      <c r="CW801" s="59"/>
      <c r="CX801" s="59"/>
      <c r="CY801" s="59"/>
      <c r="CZ801" s="59"/>
      <c r="DA801" s="59"/>
      <c r="DB801" s="59"/>
      <c r="DC801" s="59"/>
      <c r="DD801" s="59"/>
      <c r="DE801" s="59"/>
      <c r="DF801" s="59"/>
      <c r="DG801" s="59"/>
      <c r="DH801" s="59"/>
      <c r="DI801" s="59"/>
      <c r="DJ801" s="59"/>
      <c r="DK801" s="59"/>
      <c r="DL801" s="221"/>
      <c r="DM801" s="59"/>
      <c r="DN801" s="59"/>
      <c r="DO801" s="59"/>
      <c r="DP801" s="59"/>
      <c r="DQ801" s="59"/>
      <c r="DR801" s="59"/>
      <c r="DS801" s="59"/>
      <c r="DT801" s="59"/>
      <c r="DU801" s="59"/>
      <c r="DV801" s="38">
        <f t="shared" si="405"/>
        <v>0</v>
      </c>
      <c r="DW801" s="14" t="str">
        <f t="shared" si="404"/>
        <v/>
      </c>
      <c r="DY801" s="366">
        <f t="shared" si="408"/>
        <v>0</v>
      </c>
      <c r="DZ801" s="366" t="str">
        <f t="shared" si="409"/>
        <v/>
      </c>
    </row>
    <row r="802" spans="1:130" s="366" customFormat="1">
      <c r="A802" s="210">
        <v>41760</v>
      </c>
      <c r="B802" s="211"/>
      <c r="C802" s="61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35">
        <f>SUM(C802:R802)</f>
        <v>0</v>
      </c>
      <c r="T802" s="59"/>
      <c r="U802" s="59"/>
      <c r="V802" s="59"/>
      <c r="W802" s="59"/>
      <c r="X802" s="62"/>
      <c r="Y802" s="10"/>
      <c r="Z802" s="61"/>
      <c r="AA802" s="101"/>
      <c r="AB802" s="101"/>
      <c r="AC802" s="61"/>
      <c r="AD802" s="59"/>
      <c r="AE802" s="35">
        <f t="shared" si="402"/>
        <v>0</v>
      </c>
      <c r="AF802" s="10"/>
      <c r="AG802" s="61"/>
      <c r="AH802" s="59"/>
      <c r="AI802" s="59"/>
      <c r="AJ802" s="62"/>
      <c r="AK802" s="10"/>
      <c r="AL802" s="8"/>
      <c r="AM802" s="10"/>
      <c r="AN802" s="35"/>
      <c r="AO802" s="279"/>
      <c r="AP802" s="279"/>
      <c r="AQ802" s="281"/>
      <c r="AR802" s="59"/>
      <c r="AS802" s="59"/>
      <c r="AT802" s="59"/>
      <c r="AU802" s="59"/>
      <c r="AV802" s="62"/>
      <c r="AW802" s="10"/>
      <c r="AX802" s="326"/>
      <c r="AY802" s="5" t="str">
        <f t="shared" si="406"/>
        <v/>
      </c>
      <c r="AZ802" s="10"/>
      <c r="BA802" s="365"/>
      <c r="BB802" s="307"/>
      <c r="BC802" s="59"/>
      <c r="BD802" s="59"/>
      <c r="BE802" s="59"/>
      <c r="BF802" s="59"/>
      <c r="BG802" s="62"/>
      <c r="BH802" s="351"/>
      <c r="BI802" s="59"/>
      <c r="BJ802" s="342"/>
      <c r="BK802" s="342"/>
      <c r="BL802" s="320">
        <f>BK802-BJ802</f>
        <v>0</v>
      </c>
      <c r="BM802" s="62"/>
      <c r="BN802" s="10"/>
      <c r="BO802" s="8"/>
      <c r="BP802" s="5"/>
      <c r="BQ802" s="10"/>
      <c r="BR802" s="29">
        <v>2014</v>
      </c>
      <c r="BS802" s="64">
        <v>2014</v>
      </c>
      <c r="BT802" s="14">
        <v>9</v>
      </c>
      <c r="BU802" s="10"/>
      <c r="BV802" s="8"/>
      <c r="BW802" s="59"/>
      <c r="BX802" s="59"/>
      <c r="BY802" s="59"/>
      <c r="BZ802" s="59"/>
      <c r="CA802" s="59"/>
      <c r="CB802" s="221"/>
      <c r="CC802" s="59"/>
      <c r="CD802" s="59"/>
      <c r="CE802" s="317"/>
      <c r="CF802" s="221"/>
      <c r="CG802" s="59"/>
      <c r="CH802" s="59"/>
      <c r="CI802" s="59"/>
      <c r="CJ802" s="59"/>
      <c r="CK802" s="59"/>
      <c r="CL802" s="59"/>
      <c r="CM802" s="59"/>
      <c r="CN802" s="59"/>
      <c r="CO802" s="59"/>
      <c r="CP802" s="59"/>
      <c r="CQ802" s="59"/>
      <c r="CR802" s="221"/>
      <c r="CS802" s="59"/>
      <c r="CT802" s="59"/>
      <c r="CU802" s="221"/>
      <c r="CV802" s="59"/>
      <c r="CW802" s="59"/>
      <c r="CX802" s="59"/>
      <c r="CY802" s="59"/>
      <c r="CZ802" s="59"/>
      <c r="DA802" s="59"/>
      <c r="DB802" s="59"/>
      <c r="DC802" s="59"/>
      <c r="DD802" s="59"/>
      <c r="DE802" s="59"/>
      <c r="DF802" s="59"/>
      <c r="DG802" s="59"/>
      <c r="DH802" s="59"/>
      <c r="DI802" s="59"/>
      <c r="DJ802" s="59"/>
      <c r="DK802" s="59"/>
      <c r="DL802" s="221"/>
      <c r="DM802" s="59"/>
      <c r="DN802" s="59"/>
      <c r="DO802" s="59"/>
      <c r="DP802" s="59"/>
      <c r="DQ802" s="59"/>
      <c r="DR802" s="59"/>
      <c r="DS802" s="59"/>
      <c r="DT802" s="59"/>
      <c r="DU802" s="59"/>
      <c r="DV802" s="38">
        <f t="shared" si="405"/>
        <v>0</v>
      </c>
      <c r="DW802" s="14" t="str">
        <f t="shared" si="404"/>
        <v/>
      </c>
      <c r="DY802" s="366">
        <f t="shared" si="408"/>
        <v>0</v>
      </c>
      <c r="DZ802" s="366" t="str">
        <f t="shared" si="409"/>
        <v/>
      </c>
    </row>
    <row r="803" spans="1:130" s="366" customFormat="1">
      <c r="A803" s="210">
        <v>41774</v>
      </c>
      <c r="B803" s="211"/>
      <c r="C803" s="61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35">
        <f>SUM(C803:R803)</f>
        <v>0</v>
      </c>
      <c r="T803" s="59"/>
      <c r="U803" s="59"/>
      <c r="V803" s="59"/>
      <c r="W803" s="59"/>
      <c r="X803" s="62"/>
      <c r="Y803" s="10"/>
      <c r="Z803" s="61"/>
      <c r="AA803" s="101"/>
      <c r="AB803" s="101"/>
      <c r="AC803" s="61"/>
      <c r="AD803" s="59"/>
      <c r="AE803" s="35">
        <f t="shared" si="402"/>
        <v>0</v>
      </c>
      <c r="AF803" s="10"/>
      <c r="AG803" s="61"/>
      <c r="AH803" s="59"/>
      <c r="AI803" s="59"/>
      <c r="AJ803" s="62"/>
      <c r="AK803" s="10"/>
      <c r="AL803" s="8"/>
      <c r="AM803" s="10"/>
      <c r="AN803" s="35"/>
      <c r="AO803" s="279"/>
      <c r="AP803" s="279"/>
      <c r="AQ803" s="281"/>
      <c r="AR803" s="59"/>
      <c r="AS803" s="59"/>
      <c r="AT803" s="59"/>
      <c r="AU803" s="59"/>
      <c r="AV803" s="62"/>
      <c r="AW803" s="10"/>
      <c r="AX803" s="326"/>
      <c r="AY803" s="5" t="str">
        <f t="shared" si="406"/>
        <v/>
      </c>
      <c r="AZ803" s="10"/>
      <c r="BA803" s="365"/>
      <c r="BB803" s="307"/>
      <c r="BC803" s="10"/>
      <c r="BD803" s="10"/>
      <c r="BE803" s="10"/>
      <c r="BF803" s="10"/>
      <c r="BG803" s="5"/>
      <c r="BH803" s="30"/>
      <c r="BI803" s="10"/>
      <c r="BJ803" s="338"/>
      <c r="BK803" s="338"/>
      <c r="BL803" s="320"/>
      <c r="BM803" s="5"/>
      <c r="BN803" s="10"/>
      <c r="BO803" s="8"/>
      <c r="BP803" s="5"/>
      <c r="BQ803" s="10"/>
      <c r="BR803" s="29">
        <v>2014</v>
      </c>
      <c r="BS803" s="64">
        <v>2014</v>
      </c>
      <c r="BT803" s="14">
        <v>10</v>
      </c>
      <c r="BU803" s="10"/>
      <c r="BV803" s="8"/>
      <c r="BW803" s="59"/>
      <c r="BX803" s="59"/>
      <c r="BY803" s="59"/>
      <c r="BZ803" s="59"/>
      <c r="CA803" s="59"/>
      <c r="CB803" s="221"/>
      <c r="CC803" s="59"/>
      <c r="CD803" s="59"/>
      <c r="CE803" s="317"/>
      <c r="CF803" s="221"/>
      <c r="CG803" s="59"/>
      <c r="CH803" s="59"/>
      <c r="CI803" s="59"/>
      <c r="CJ803" s="59"/>
      <c r="CK803" s="59"/>
      <c r="CL803" s="59"/>
      <c r="CM803" s="59"/>
      <c r="CN803" s="59"/>
      <c r="CO803" s="59"/>
      <c r="CP803" s="59"/>
      <c r="CQ803" s="59"/>
      <c r="CR803" s="221"/>
      <c r="CS803" s="59"/>
      <c r="CT803" s="59"/>
      <c r="CU803" s="221"/>
      <c r="CV803" s="59"/>
      <c r="CW803" s="59"/>
      <c r="CX803" s="59"/>
      <c r="CY803" s="59"/>
      <c r="CZ803" s="59"/>
      <c r="DA803" s="59"/>
      <c r="DB803" s="59"/>
      <c r="DC803" s="59"/>
      <c r="DD803" s="59"/>
      <c r="DE803" s="59"/>
      <c r="DF803" s="59"/>
      <c r="DG803" s="59"/>
      <c r="DH803" s="59"/>
      <c r="DI803" s="59"/>
      <c r="DJ803" s="59"/>
      <c r="DK803" s="59"/>
      <c r="DL803" s="221"/>
      <c r="DM803" s="59"/>
      <c r="DN803" s="59"/>
      <c r="DO803" s="59"/>
      <c r="DP803" s="59"/>
      <c r="DQ803" s="59"/>
      <c r="DR803" s="59"/>
      <c r="DS803" s="59"/>
      <c r="DT803" s="59"/>
      <c r="DU803" s="59"/>
      <c r="DV803" s="38">
        <f t="shared" si="405"/>
        <v>0</v>
      </c>
      <c r="DW803" s="14" t="str">
        <f t="shared" si="404"/>
        <v/>
      </c>
      <c r="DY803" s="366">
        <f t="shared" si="408"/>
        <v>0</v>
      </c>
      <c r="DZ803" s="366" t="str">
        <f t="shared" si="409"/>
        <v/>
      </c>
    </row>
    <row r="804" spans="1:130" s="366" customFormat="1">
      <c r="A804" s="210">
        <v>41791</v>
      </c>
      <c r="B804" s="211"/>
      <c r="C804" s="8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35">
        <f>SUM(C804:R804)</f>
        <v>0</v>
      </c>
      <c r="T804" s="59"/>
      <c r="U804" s="59"/>
      <c r="V804" s="59"/>
      <c r="W804" s="59"/>
      <c r="X804" s="62"/>
      <c r="Y804" s="10"/>
      <c r="Z804" s="61"/>
      <c r="AA804" s="101"/>
      <c r="AB804" s="101"/>
      <c r="AC804" s="61"/>
      <c r="AD804" s="59"/>
      <c r="AE804" s="35">
        <f t="shared" si="402"/>
        <v>0</v>
      </c>
      <c r="AF804" s="10"/>
      <c r="AG804" s="8"/>
      <c r="AH804" s="59"/>
      <c r="AI804" s="59"/>
      <c r="AJ804" s="5"/>
      <c r="AK804" s="10"/>
      <c r="AL804" s="8"/>
      <c r="AM804" s="10"/>
      <c r="AN804" s="35"/>
      <c r="AO804" s="279"/>
      <c r="AP804" s="279"/>
      <c r="AQ804" s="281"/>
      <c r="AR804" s="59"/>
      <c r="AS804" s="59"/>
      <c r="AT804" s="59"/>
      <c r="AU804" s="59"/>
      <c r="AV804" s="62"/>
      <c r="AW804" s="10"/>
      <c r="AX804" s="326"/>
      <c r="AY804" s="5" t="str">
        <f t="shared" si="406"/>
        <v/>
      </c>
      <c r="AZ804" s="10"/>
      <c r="BA804" s="365"/>
      <c r="BB804" s="307"/>
      <c r="BC804" s="10"/>
      <c r="BD804" s="10"/>
      <c r="BE804" s="10"/>
      <c r="BF804" s="10"/>
      <c r="BG804" s="62"/>
      <c r="BH804" s="351"/>
      <c r="BI804" s="10"/>
      <c r="BJ804" s="338"/>
      <c r="BK804" s="338"/>
      <c r="BL804" s="320">
        <f>BK804-BJ804</f>
        <v>0</v>
      </c>
      <c r="BM804" s="5"/>
      <c r="BN804" s="10"/>
      <c r="BO804" s="8"/>
      <c r="BP804" s="5"/>
      <c r="BQ804" s="10"/>
      <c r="BR804" s="29">
        <v>2014</v>
      </c>
      <c r="BS804" s="64">
        <v>2014</v>
      </c>
      <c r="BT804" s="14">
        <v>11</v>
      </c>
      <c r="BU804" s="10"/>
      <c r="BV804" s="8"/>
      <c r="BW804" s="10"/>
      <c r="BX804" s="10"/>
      <c r="BY804" s="10"/>
      <c r="BZ804" s="10"/>
      <c r="CA804" s="10"/>
      <c r="CB804" s="221"/>
      <c r="CC804" s="10"/>
      <c r="CD804" s="10"/>
      <c r="CE804" s="317"/>
      <c r="CF804" s="221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221"/>
      <c r="CS804" s="10"/>
      <c r="CT804" s="10"/>
      <c r="CU804" s="221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  <c r="DF804" s="10"/>
      <c r="DG804" s="10"/>
      <c r="DH804" s="10"/>
      <c r="DI804" s="10"/>
      <c r="DJ804" s="10"/>
      <c r="DK804" s="10"/>
      <c r="DL804" s="221"/>
      <c r="DM804" s="10"/>
      <c r="DN804" s="10"/>
      <c r="DO804" s="10"/>
      <c r="DP804" s="10"/>
      <c r="DQ804" s="10"/>
      <c r="DR804" s="10"/>
      <c r="DS804" s="10"/>
      <c r="DT804" s="10"/>
      <c r="DU804" s="10"/>
      <c r="DV804" s="38">
        <f t="shared" si="405"/>
        <v>0</v>
      </c>
      <c r="DW804" s="14" t="str">
        <f t="shared" si="404"/>
        <v/>
      </c>
      <c r="DY804" s="366">
        <f t="shared" si="408"/>
        <v>0</v>
      </c>
      <c r="DZ804" s="366" t="str">
        <f t="shared" si="409"/>
        <v/>
      </c>
    </row>
    <row r="805" spans="1:130" s="366" customFormat="1">
      <c r="A805" s="210">
        <v>41805</v>
      </c>
      <c r="B805" s="211"/>
      <c r="C805" s="8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35">
        <f>SUM(C805:R805)</f>
        <v>0</v>
      </c>
      <c r="T805" s="59"/>
      <c r="U805" s="59"/>
      <c r="V805" s="59"/>
      <c r="W805" s="59"/>
      <c r="X805" s="5"/>
      <c r="Y805" s="10"/>
      <c r="Z805" s="61"/>
      <c r="AA805" s="101"/>
      <c r="AB805" s="101"/>
      <c r="AC805" s="61"/>
      <c r="AD805" s="59"/>
      <c r="AE805" s="35">
        <f t="shared" si="402"/>
        <v>0</v>
      </c>
      <c r="AF805" s="10"/>
      <c r="AG805" s="8"/>
      <c r="AH805" s="59"/>
      <c r="AI805" s="59"/>
      <c r="AJ805" s="5"/>
      <c r="AK805" s="10"/>
      <c r="AL805" s="8"/>
      <c r="AM805" s="10"/>
      <c r="AN805" s="35"/>
      <c r="AO805" s="279"/>
      <c r="AP805" s="279"/>
      <c r="AQ805" s="281"/>
      <c r="AR805" s="59"/>
      <c r="AS805" s="59"/>
      <c r="AT805" s="59"/>
      <c r="AU805" s="59"/>
      <c r="AV805" s="62"/>
      <c r="AW805" s="10"/>
      <c r="AX805" s="326"/>
      <c r="AY805" s="5"/>
      <c r="AZ805" s="10"/>
      <c r="BA805" s="56"/>
      <c r="BB805" s="57"/>
      <c r="BC805" s="57"/>
      <c r="BD805" s="57"/>
      <c r="BE805" s="57"/>
      <c r="BF805" s="57"/>
      <c r="BG805" s="58"/>
      <c r="BH805" s="60"/>
      <c r="BI805" s="10"/>
      <c r="BJ805" s="338"/>
      <c r="BK805" s="338"/>
      <c r="BL805" s="320"/>
      <c r="BM805" s="5"/>
      <c r="BN805" s="10"/>
      <c r="BO805" s="8"/>
      <c r="BP805" s="5"/>
      <c r="BQ805" s="10"/>
      <c r="BR805" s="29">
        <v>2014</v>
      </c>
      <c r="BS805" s="64">
        <v>2014</v>
      </c>
      <c r="BT805" s="14">
        <v>12</v>
      </c>
      <c r="BU805" s="10"/>
      <c r="BV805" s="8"/>
      <c r="BW805" s="10"/>
      <c r="BX805" s="10"/>
      <c r="BY805" s="10"/>
      <c r="BZ805" s="10"/>
      <c r="CA805" s="10"/>
      <c r="CB805" s="221"/>
      <c r="CC805" s="10"/>
      <c r="CD805" s="10"/>
      <c r="CE805" s="317"/>
      <c r="CF805" s="221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221"/>
      <c r="CS805" s="10"/>
      <c r="CT805" s="10"/>
      <c r="CU805" s="221"/>
      <c r="CV805" s="10"/>
      <c r="CW805" s="10"/>
      <c r="CX805" s="10"/>
      <c r="CY805" s="10"/>
      <c r="CZ805" s="10"/>
      <c r="DA805" s="10"/>
      <c r="DB805" s="10"/>
      <c r="DC805" s="10"/>
      <c r="DD805" s="10"/>
      <c r="DE805" s="10"/>
      <c r="DF805" s="10"/>
      <c r="DG805" s="10"/>
      <c r="DH805" s="10"/>
      <c r="DI805" s="10"/>
      <c r="DJ805" s="10"/>
      <c r="DK805" s="10"/>
      <c r="DL805" s="221"/>
      <c r="DM805" s="10"/>
      <c r="DN805" s="10"/>
      <c r="DO805" s="10"/>
      <c r="DP805" s="10"/>
      <c r="DQ805" s="10"/>
      <c r="DR805" s="10"/>
      <c r="DS805" s="10"/>
      <c r="DT805" s="10"/>
      <c r="DU805" s="10"/>
      <c r="DV805" s="38">
        <f t="shared" si="405"/>
        <v>0</v>
      </c>
      <c r="DW805" s="14" t="str">
        <f t="shared" si="404"/>
        <v/>
      </c>
      <c r="DY805" s="366">
        <f t="shared" si="408"/>
        <v>0</v>
      </c>
      <c r="DZ805" s="366" t="str">
        <f t="shared" si="409"/>
        <v/>
      </c>
    </row>
    <row r="806" spans="1:130" s="6" customFormat="1" ht="12" thickBot="1">
      <c r="A806" s="212" t="s">
        <v>309</v>
      </c>
      <c r="B806" s="83"/>
      <c r="C806" s="52">
        <f t="shared" ref="C806:H806" si="411">SUM(C782:C805)</f>
        <v>8</v>
      </c>
      <c r="D806" s="53">
        <f t="shared" si="411"/>
        <v>50</v>
      </c>
      <c r="E806" s="53">
        <f t="shared" si="411"/>
        <v>7</v>
      </c>
      <c r="F806" s="53">
        <f t="shared" si="411"/>
        <v>7</v>
      </c>
      <c r="G806" s="53">
        <f t="shared" si="411"/>
        <v>5</v>
      </c>
      <c r="H806" s="53">
        <f t="shared" si="411"/>
        <v>0</v>
      </c>
      <c r="I806" s="53">
        <f>SUM(I782:I805)</f>
        <v>0</v>
      </c>
      <c r="J806" s="53">
        <f t="shared" ref="J806:N806" si="412">SUM(J782:J805)</f>
        <v>40</v>
      </c>
      <c r="K806" s="53">
        <f t="shared" si="412"/>
        <v>0</v>
      </c>
      <c r="L806" s="53">
        <f t="shared" si="412"/>
        <v>0</v>
      </c>
      <c r="M806" s="53">
        <f t="shared" si="412"/>
        <v>0</v>
      </c>
      <c r="N806" s="53">
        <f t="shared" si="412"/>
        <v>0</v>
      </c>
      <c r="O806" s="53">
        <f>SUM(O782:O805)</f>
        <v>22</v>
      </c>
      <c r="P806" s="53">
        <f t="shared" ref="P806:X806" si="413">SUM(P782:P805)</f>
        <v>0</v>
      </c>
      <c r="Q806" s="53">
        <f t="shared" si="413"/>
        <v>0</v>
      </c>
      <c r="R806" s="53">
        <f t="shared" si="413"/>
        <v>0</v>
      </c>
      <c r="S806" s="55">
        <f t="shared" si="413"/>
        <v>139</v>
      </c>
      <c r="T806" s="53">
        <f t="shared" si="413"/>
        <v>0</v>
      </c>
      <c r="U806" s="53">
        <f t="shared" si="413"/>
        <v>63</v>
      </c>
      <c r="V806" s="53">
        <f t="shared" si="413"/>
        <v>48</v>
      </c>
      <c r="W806" s="53">
        <f t="shared" si="413"/>
        <v>2</v>
      </c>
      <c r="X806" s="54">
        <f t="shared" si="413"/>
        <v>0</v>
      </c>
      <c r="Z806" s="52">
        <f>SUM(Z782:Z805)</f>
        <v>884736</v>
      </c>
      <c r="AA806" s="53">
        <f>SUM(AA782:AA805)</f>
        <v>0</v>
      </c>
      <c r="AB806" s="53"/>
      <c r="AC806" s="52">
        <f>SUM(AC782:AC805)</f>
        <v>28585984</v>
      </c>
      <c r="AD806" s="53">
        <f>SUM(AD782:AD805)</f>
        <v>0</v>
      </c>
      <c r="AE806" s="55">
        <f>SUM(AE782:AE805)</f>
        <v>28585984</v>
      </c>
      <c r="AG806" s="52">
        <f>SUM(AG782:AG805)</f>
        <v>344</v>
      </c>
      <c r="AH806" s="53">
        <f>SUM(AH782:AH805)</f>
        <v>62</v>
      </c>
      <c r="AI806" s="53">
        <f>SUM(AI782:AI805)</f>
        <v>440</v>
      </c>
      <c r="AJ806" s="54">
        <f>SUM(AJ782:AJ805)</f>
        <v>0</v>
      </c>
      <c r="AL806" s="52">
        <f t="shared" ref="AL806:AN806" si="414">SUM(AL782:AL805)</f>
        <v>0</v>
      </c>
      <c r="AM806" s="53">
        <f t="shared" si="414"/>
        <v>31</v>
      </c>
      <c r="AN806" s="55">
        <f t="shared" si="414"/>
        <v>31</v>
      </c>
      <c r="AO806" s="283"/>
      <c r="AP806" s="283"/>
      <c r="AQ806" s="284"/>
      <c r="AR806" s="53">
        <f t="shared" ref="AR806:AV806" si="415">SUM(AR782:AR805)</f>
        <v>155</v>
      </c>
      <c r="AS806" s="53">
        <f t="shared" si="415"/>
        <v>272</v>
      </c>
      <c r="AT806" s="53">
        <f t="shared" si="415"/>
        <v>399</v>
      </c>
      <c r="AU806" s="53">
        <f t="shared" si="415"/>
        <v>50</v>
      </c>
      <c r="AV806" s="54">
        <f t="shared" si="415"/>
        <v>831</v>
      </c>
      <c r="AX806" s="329"/>
      <c r="AY806" s="54"/>
      <c r="BA806" s="52">
        <f t="shared" ref="BA806:BC806" si="416">SUM(BA782:BA805)</f>
        <v>0</v>
      </c>
      <c r="BB806" s="53">
        <f t="shared" si="416"/>
        <v>0</v>
      </c>
      <c r="BC806" s="53">
        <f t="shared" si="416"/>
        <v>0</v>
      </c>
      <c r="BD806" s="53"/>
      <c r="BE806" s="53">
        <f t="shared" ref="BE806:BG806" si="417">SUM(BE782:BE805)</f>
        <v>0</v>
      </c>
      <c r="BF806" s="53">
        <f t="shared" si="417"/>
        <v>0</v>
      </c>
      <c r="BG806" s="53">
        <f t="shared" si="417"/>
        <v>0</v>
      </c>
      <c r="BH806" s="55">
        <f>SUM(BH782:BH805)</f>
        <v>0</v>
      </c>
      <c r="BI806" s="53">
        <f t="shared" ref="BI806" si="418">SUM(BI782:BI805)</f>
        <v>0</v>
      </c>
      <c r="BJ806" s="339"/>
      <c r="BK806" s="339"/>
      <c r="BL806" s="304"/>
      <c r="BM806" s="54">
        <f t="shared" ref="BM806" si="419">SUM(BM782:BM805)</f>
        <v>0</v>
      </c>
      <c r="BO806" s="52">
        <f>SUM(BO782:BO805)</f>
        <v>0</v>
      </c>
      <c r="BP806" s="54">
        <f>SUM(BP782:BP805)</f>
        <v>0</v>
      </c>
      <c r="BR806" s="81" t="s">
        <v>313</v>
      </c>
      <c r="BS806" s="80"/>
      <c r="BT806" s="82"/>
      <c r="BV806" s="52">
        <f t="shared" ref="BV806:CN806" si="420">SUM(BV782:BV805)</f>
        <v>1</v>
      </c>
      <c r="BW806" s="53">
        <f t="shared" si="420"/>
        <v>5</v>
      </c>
      <c r="BX806" s="53">
        <f t="shared" si="420"/>
        <v>0</v>
      </c>
      <c r="BY806" s="53">
        <f t="shared" si="420"/>
        <v>0</v>
      </c>
      <c r="BZ806" s="53">
        <f t="shared" si="420"/>
        <v>0</v>
      </c>
      <c r="CA806" s="53">
        <f t="shared" si="420"/>
        <v>1</v>
      </c>
      <c r="CB806" s="53">
        <f t="shared" si="420"/>
        <v>0</v>
      </c>
      <c r="CC806" s="53">
        <f t="shared" si="420"/>
        <v>0</v>
      </c>
      <c r="CD806" s="53">
        <f t="shared" si="420"/>
        <v>7</v>
      </c>
      <c r="CE806" s="53">
        <f t="shared" si="420"/>
        <v>0</v>
      </c>
      <c r="CF806" s="53">
        <f t="shared" si="420"/>
        <v>0</v>
      </c>
      <c r="CG806" s="53">
        <f t="shared" si="420"/>
        <v>0</v>
      </c>
      <c r="CH806" s="53">
        <f t="shared" si="420"/>
        <v>0</v>
      </c>
      <c r="CI806" s="53">
        <f t="shared" si="420"/>
        <v>23</v>
      </c>
      <c r="CJ806" s="53">
        <f t="shared" si="420"/>
        <v>38</v>
      </c>
      <c r="CK806" s="53">
        <f t="shared" si="420"/>
        <v>0</v>
      </c>
      <c r="CL806" s="53">
        <f t="shared" si="420"/>
        <v>0</v>
      </c>
      <c r="CM806" s="53">
        <f t="shared" si="420"/>
        <v>0</v>
      </c>
      <c r="CN806" s="53">
        <f t="shared" si="420"/>
        <v>0</v>
      </c>
      <c r="CO806" s="53">
        <f>SUM(CO782:CO805)</f>
        <v>29</v>
      </c>
      <c r="CP806" s="53">
        <f t="shared" ref="CP806:DU806" si="421">SUM(CP782:CP805)</f>
        <v>0</v>
      </c>
      <c r="CQ806" s="53">
        <f t="shared" si="421"/>
        <v>0</v>
      </c>
      <c r="CR806" s="53">
        <f t="shared" si="421"/>
        <v>0</v>
      </c>
      <c r="CS806" s="53">
        <f t="shared" si="421"/>
        <v>0</v>
      </c>
      <c r="CT806" s="53">
        <f t="shared" si="421"/>
        <v>0</v>
      </c>
      <c r="CU806" s="53">
        <f t="shared" si="421"/>
        <v>0</v>
      </c>
      <c r="CV806" s="53">
        <f t="shared" si="421"/>
        <v>2</v>
      </c>
      <c r="CW806" s="53">
        <f t="shared" si="421"/>
        <v>0</v>
      </c>
      <c r="CX806" s="53">
        <f t="shared" si="421"/>
        <v>0</v>
      </c>
      <c r="CY806" s="53">
        <f t="shared" si="421"/>
        <v>0</v>
      </c>
      <c r="CZ806" s="53">
        <f t="shared" si="421"/>
        <v>0</v>
      </c>
      <c r="DA806" s="53">
        <f t="shared" si="421"/>
        <v>0</v>
      </c>
      <c r="DB806" s="53">
        <f t="shared" si="421"/>
        <v>23</v>
      </c>
      <c r="DC806" s="53">
        <f t="shared" si="421"/>
        <v>0</v>
      </c>
      <c r="DD806" s="53">
        <f t="shared" si="421"/>
        <v>0</v>
      </c>
      <c r="DE806" s="53">
        <f t="shared" si="421"/>
        <v>0</v>
      </c>
      <c r="DF806" s="53">
        <f t="shared" si="421"/>
        <v>0</v>
      </c>
      <c r="DG806" s="53">
        <f t="shared" si="421"/>
        <v>4</v>
      </c>
      <c r="DH806" s="53">
        <f t="shared" si="421"/>
        <v>4</v>
      </c>
      <c r="DI806" s="53">
        <f t="shared" si="421"/>
        <v>1</v>
      </c>
      <c r="DJ806" s="53">
        <f t="shared" si="421"/>
        <v>0</v>
      </c>
      <c r="DK806" s="53">
        <f t="shared" si="421"/>
        <v>0</v>
      </c>
      <c r="DL806" s="53">
        <f t="shared" si="421"/>
        <v>0</v>
      </c>
      <c r="DM806" s="53">
        <f t="shared" si="421"/>
        <v>1</v>
      </c>
      <c r="DN806" s="53">
        <f t="shared" si="421"/>
        <v>0</v>
      </c>
      <c r="DO806" s="53">
        <f t="shared" si="421"/>
        <v>0</v>
      </c>
      <c r="DP806" s="53">
        <f t="shared" si="421"/>
        <v>0</v>
      </c>
      <c r="DQ806" s="53">
        <f t="shared" si="421"/>
        <v>0</v>
      </c>
      <c r="DR806" s="53">
        <f t="shared" si="421"/>
        <v>0</v>
      </c>
      <c r="DS806" s="53">
        <f t="shared" si="421"/>
        <v>0</v>
      </c>
      <c r="DT806" s="53">
        <f t="shared" si="421"/>
        <v>0</v>
      </c>
      <c r="DU806" s="53">
        <f t="shared" si="421"/>
        <v>0</v>
      </c>
      <c r="DV806" s="54">
        <f t="shared" si="405"/>
        <v>139</v>
      </c>
      <c r="DW806" s="48"/>
    </row>
    <row r="807" spans="1:130" s="6" customFormat="1" ht="12" thickTop="1">
      <c r="A807" s="213" t="s">
        <v>310</v>
      </c>
      <c r="B807" s="24"/>
      <c r="C807" s="39">
        <f t="shared" ref="C807:H807" si="422">ROUND(IF(ISERROR(AVERAGE(C782:C805)),0,AVERAGE(C782:C805)),0)</f>
        <v>4</v>
      </c>
      <c r="D807" s="24">
        <f t="shared" si="422"/>
        <v>25</v>
      </c>
      <c r="E807" s="24">
        <f t="shared" si="422"/>
        <v>4</v>
      </c>
      <c r="F807" s="24">
        <f t="shared" si="422"/>
        <v>4</v>
      </c>
      <c r="G807" s="24">
        <f t="shared" si="422"/>
        <v>3</v>
      </c>
      <c r="H807" s="24">
        <f t="shared" si="422"/>
        <v>0</v>
      </c>
      <c r="I807" s="24">
        <f>ROUND(IF(ISERROR(AVERAGE(I782:I805)),0,AVERAGE(I782:I805)),0)</f>
        <v>0</v>
      </c>
      <c r="J807" s="24">
        <f t="shared" ref="J807:N807" si="423">ROUND(IF(ISERROR(AVERAGE(J782:J805)),0,AVERAGE(J782:J805)),0)</f>
        <v>20</v>
      </c>
      <c r="K807" s="24">
        <f t="shared" si="423"/>
        <v>0</v>
      </c>
      <c r="L807" s="24">
        <f t="shared" si="423"/>
        <v>0</v>
      </c>
      <c r="M807" s="24">
        <f t="shared" si="423"/>
        <v>0</v>
      </c>
      <c r="N807" s="24">
        <f t="shared" si="423"/>
        <v>0</v>
      </c>
      <c r="O807" s="24">
        <f>ROUND(IF(ISERROR(AVERAGE(O782:O805)),0,AVERAGE(O782:O805)),0)</f>
        <v>11</v>
      </c>
      <c r="P807" s="24">
        <f t="shared" ref="P807:R807" si="424">ROUND(IF(ISERROR(AVERAGE(P782:P805)),0,AVERAGE(P782:P805)),0)</f>
        <v>0</v>
      </c>
      <c r="Q807" s="24">
        <f t="shared" si="424"/>
        <v>0</v>
      </c>
      <c r="R807" s="24">
        <f t="shared" si="424"/>
        <v>0</v>
      </c>
      <c r="S807" s="31">
        <f>SUM(C807:R807)</f>
        <v>71</v>
      </c>
      <c r="T807" s="24">
        <f>ROUND(IF(ISERROR(AVERAGE(T782:T805)),0,AVERAGE(T782:T805)),0)</f>
        <v>0</v>
      </c>
      <c r="U807" s="24">
        <f>ROUND(IF(ISERROR(AVERAGE(U782:U805)),0,AVERAGE(U782:U805)),0)</f>
        <v>32</v>
      </c>
      <c r="V807" s="24">
        <f>ROUND(IF(ISERROR(AVERAGE(V782:V805)),0,AVERAGE(V782:V805)),0)</f>
        <v>24</v>
      </c>
      <c r="W807" s="24">
        <f>ROUND(IF(ISERROR(AVERAGE(W782:W805)),0,AVERAGE(W782:W805)),0)</f>
        <v>1</v>
      </c>
      <c r="X807" s="40">
        <f>ROUND(IF(ISERROR(AVERAGE(X782:X805)),0,AVERAGE(X782:X805)),0)</f>
        <v>0</v>
      </c>
      <c r="Z807" s="39">
        <f>ROUND(IF(ISERROR(AVERAGE(Z782:Z805)),0,AVERAGE(Z782:Z805)),0)</f>
        <v>442368</v>
      </c>
      <c r="AA807" s="24">
        <f>ROUND(IF(ISERROR(AVERAGE(AA782:AA805)),0,AVERAGE(AA782:AA805)),0)</f>
        <v>0</v>
      </c>
      <c r="AB807" s="24"/>
      <c r="AC807" s="39">
        <f>ROUND(IF(ISERROR(AVERAGE(AC782:AC805)),0,AVERAGE(AC782:AC805)),0)</f>
        <v>14292992</v>
      </c>
      <c r="AD807" s="24">
        <f>ROUND(IF(ISERROR(AVERAGE(AD782:AD805)),0,AVERAGE(AD782:AD805)),0)</f>
        <v>0</v>
      </c>
      <c r="AE807" s="31">
        <f>SUM(AC807:AD807)</f>
        <v>14292992</v>
      </c>
      <c r="AG807" s="39">
        <f>ROUND(IF(ISERROR(AVERAGE(AG782:AG805)),0,AVERAGE(AG782:AG805)),0)</f>
        <v>172</v>
      </c>
      <c r="AH807" s="24">
        <f>ROUND(IF(ISERROR(AVERAGE(AH782:AH805)),0,AVERAGE(AH782:AH805)),0)</f>
        <v>31</v>
      </c>
      <c r="AI807" s="24">
        <f>ROUND(IF(ISERROR(AVERAGE(AI782:AI805)),0,AVERAGE(AI782:AI805)),0)</f>
        <v>220</v>
      </c>
      <c r="AJ807" s="40">
        <f>ROUND(IF(ISERROR(AVERAGE(AJ782:AJ805)),0,AVERAGE(AJ782:AJ805)),0)</f>
        <v>0</v>
      </c>
      <c r="AL807" s="39">
        <f>ROUND(IF(ISERROR(AVERAGE(AL782:AL805)),0,AVERAGE(AL782:AL805)),0)</f>
        <v>0</v>
      </c>
      <c r="AM807" s="24">
        <f>ROUND(IF(ISERROR(AVERAGE(AM782:AM805)),0,AVERAGE(AM782:AM805)),0)</f>
        <v>31</v>
      </c>
      <c r="AN807" s="31">
        <f>SUM(AL807:AM807)</f>
        <v>31</v>
      </c>
      <c r="AO807" s="285"/>
      <c r="AP807" s="285"/>
      <c r="AQ807" s="281"/>
      <c r="AR807" s="24">
        <f>ROUND(IF(ISERROR(AVERAGE(AR782:AR805)),0,AVERAGE(AR782:AR805)),0)</f>
        <v>155</v>
      </c>
      <c r="AS807" s="24">
        <f>ROUND(IF(ISERROR(AVERAGE(AS782:AS805)),0,AVERAGE(AS782:AS805)),0)</f>
        <v>136</v>
      </c>
      <c r="AT807" s="24">
        <f>ROUND(IF(ISERROR(AVERAGE(AT782:AT805)),0,AVERAGE(AT782:AT805)),0)</f>
        <v>200</v>
      </c>
      <c r="AU807" s="24">
        <f>ROUND(IF(ISERROR(AVERAGE(AU782:AU805)),0,AVERAGE(AU782:AU805)),0)</f>
        <v>25</v>
      </c>
      <c r="AV807" s="40">
        <f>ROUND(IF(ISERROR(AVERAGE(AV782:AV805)),0,AVERAGE(AV782:AV805)),0)</f>
        <v>416</v>
      </c>
      <c r="AX807" s="330"/>
      <c r="AY807" s="40">
        <f>ROUND(IF(ISERROR(AVERAGE(AY782:AY805)),0,AVERAGE(AY782:AY805)),0)</f>
        <v>-3</v>
      </c>
      <c r="BA807" s="39">
        <f t="shared" ref="BA807:BC807" si="425">ROUND(IF(ISERROR(AVERAGE(BA782:BA805)),0,AVERAGE(BA782:BA805)),0)</f>
        <v>0</v>
      </c>
      <c r="BB807" s="24">
        <f t="shared" si="425"/>
        <v>0</v>
      </c>
      <c r="BC807" s="24">
        <f t="shared" si="425"/>
        <v>0</v>
      </c>
      <c r="BD807" s="24"/>
      <c r="BE807" s="24">
        <f t="shared" ref="BE807:BG807" si="426">ROUND(IF(ISERROR(AVERAGE(BE782:BE805)),0,AVERAGE(BE782:BE805)),0)</f>
        <v>0</v>
      </c>
      <c r="BF807" s="24">
        <f t="shared" si="426"/>
        <v>0</v>
      </c>
      <c r="BG807" s="24">
        <f t="shared" si="426"/>
        <v>0</v>
      </c>
      <c r="BH807" s="31">
        <f>ROUND(IF(ISERROR(AVERAGE(BH782:BH805)),0,AVERAGE(BH782:BH805)),0)</f>
        <v>0</v>
      </c>
      <c r="BI807" s="24">
        <f t="shared" ref="BI807" si="427">ROUND(IF(ISERROR(AVERAGE(BI782:BI805)),0,AVERAGE(BI782:BI805)),0)</f>
        <v>0</v>
      </c>
      <c r="BJ807" s="340"/>
      <c r="BK807" s="340"/>
      <c r="BL807" s="305">
        <f>AVERAGE(BL782:BL805)</f>
        <v>0</v>
      </c>
      <c r="BM807" s="40">
        <f t="shared" ref="BM807" si="428">ROUND(IF(ISERROR(AVERAGE(BM782:BM805)),0,AVERAGE(BM782:BM805)),0)</f>
        <v>0</v>
      </c>
      <c r="BO807" s="39">
        <f>ROUND(IF(ISERROR(AVERAGE(BO782:BO805)),0,AVERAGE(BO782:BO805)),0)</f>
        <v>0</v>
      </c>
      <c r="BP807" s="40">
        <f>ROUND(IF(ISERROR(AVERAGE(BP782:BP805)),0,AVERAGE(BP782:BP805)),0)</f>
        <v>0</v>
      </c>
      <c r="BR807" s="65" t="s">
        <v>314</v>
      </c>
      <c r="BS807" s="19"/>
      <c r="BT807" s="14"/>
      <c r="BV807" s="39">
        <f t="shared" ref="BV807:CN807" si="429">ROUND(IF(ISERROR(AVERAGE(BV782:BV805)),0,AVERAGE(BV782:BV805)),0)</f>
        <v>1</v>
      </c>
      <c r="BW807" s="24">
        <f t="shared" si="429"/>
        <v>3</v>
      </c>
      <c r="BX807" s="24">
        <f t="shared" si="429"/>
        <v>0</v>
      </c>
      <c r="BY807" s="24">
        <f t="shared" si="429"/>
        <v>0</v>
      </c>
      <c r="BZ807" s="24">
        <f t="shared" si="429"/>
        <v>0</v>
      </c>
      <c r="CA807" s="24">
        <f t="shared" si="429"/>
        <v>1</v>
      </c>
      <c r="CB807" s="24">
        <f t="shared" si="429"/>
        <v>0</v>
      </c>
      <c r="CC807" s="24">
        <f t="shared" si="429"/>
        <v>0</v>
      </c>
      <c r="CD807" s="24">
        <f t="shared" si="429"/>
        <v>4</v>
      </c>
      <c r="CE807" s="24">
        <f t="shared" si="429"/>
        <v>0</v>
      </c>
      <c r="CF807" s="24">
        <f t="shared" si="429"/>
        <v>0</v>
      </c>
      <c r="CG807" s="24">
        <f t="shared" si="429"/>
        <v>0</v>
      </c>
      <c r="CH807" s="24">
        <f t="shared" si="429"/>
        <v>0</v>
      </c>
      <c r="CI807" s="24">
        <f t="shared" si="429"/>
        <v>12</v>
      </c>
      <c r="CJ807" s="24">
        <f t="shared" si="429"/>
        <v>19</v>
      </c>
      <c r="CK807" s="24">
        <f t="shared" si="429"/>
        <v>0</v>
      </c>
      <c r="CL807" s="24">
        <f t="shared" si="429"/>
        <v>0</v>
      </c>
      <c r="CM807" s="24">
        <f t="shared" si="429"/>
        <v>0</v>
      </c>
      <c r="CN807" s="24">
        <f t="shared" si="429"/>
        <v>0</v>
      </c>
      <c r="CO807" s="24">
        <f>ROUND(IF(ISERROR(AVERAGE(CO782:CO805)),0,AVERAGE(CO782:CO805)),0)</f>
        <v>15</v>
      </c>
      <c r="CP807" s="24">
        <f t="shared" ref="CP807:DU807" si="430">ROUND(IF(ISERROR(AVERAGE(CP782:CP805)),0,AVERAGE(CP782:CP805)),0)</f>
        <v>0</v>
      </c>
      <c r="CQ807" s="24">
        <f t="shared" si="430"/>
        <v>0</v>
      </c>
      <c r="CR807" s="24">
        <f t="shared" si="430"/>
        <v>0</v>
      </c>
      <c r="CS807" s="24">
        <f t="shared" si="430"/>
        <v>0</v>
      </c>
      <c r="CT807" s="24">
        <f t="shared" si="430"/>
        <v>0</v>
      </c>
      <c r="CU807" s="24">
        <f t="shared" si="430"/>
        <v>0</v>
      </c>
      <c r="CV807" s="24">
        <f t="shared" si="430"/>
        <v>1</v>
      </c>
      <c r="CW807" s="24">
        <f t="shared" si="430"/>
        <v>0</v>
      </c>
      <c r="CX807" s="24">
        <f t="shared" si="430"/>
        <v>0</v>
      </c>
      <c r="CY807" s="24">
        <f t="shared" si="430"/>
        <v>0</v>
      </c>
      <c r="CZ807" s="24">
        <f t="shared" si="430"/>
        <v>0</v>
      </c>
      <c r="DA807" s="24">
        <f t="shared" si="430"/>
        <v>0</v>
      </c>
      <c r="DB807" s="24">
        <f t="shared" si="430"/>
        <v>12</v>
      </c>
      <c r="DC807" s="24">
        <f t="shared" si="430"/>
        <v>0</v>
      </c>
      <c r="DD807" s="24">
        <f t="shared" si="430"/>
        <v>0</v>
      </c>
      <c r="DE807" s="24">
        <f t="shared" si="430"/>
        <v>0</v>
      </c>
      <c r="DF807" s="24">
        <f t="shared" si="430"/>
        <v>0</v>
      </c>
      <c r="DG807" s="24">
        <f t="shared" si="430"/>
        <v>2</v>
      </c>
      <c r="DH807" s="24">
        <f t="shared" si="430"/>
        <v>4</v>
      </c>
      <c r="DI807" s="24">
        <f t="shared" si="430"/>
        <v>1</v>
      </c>
      <c r="DJ807" s="24">
        <f t="shared" si="430"/>
        <v>0</v>
      </c>
      <c r="DK807" s="24">
        <f t="shared" si="430"/>
        <v>0</v>
      </c>
      <c r="DL807" s="24">
        <f t="shared" si="430"/>
        <v>0</v>
      </c>
      <c r="DM807" s="24">
        <f t="shared" si="430"/>
        <v>1</v>
      </c>
      <c r="DN807" s="24">
        <f t="shared" si="430"/>
        <v>0</v>
      </c>
      <c r="DO807" s="24">
        <f t="shared" si="430"/>
        <v>0</v>
      </c>
      <c r="DP807" s="24">
        <f t="shared" si="430"/>
        <v>0</v>
      </c>
      <c r="DQ807" s="24">
        <f t="shared" si="430"/>
        <v>0</v>
      </c>
      <c r="DR807" s="24">
        <f t="shared" si="430"/>
        <v>0</v>
      </c>
      <c r="DS807" s="24">
        <f t="shared" si="430"/>
        <v>0</v>
      </c>
      <c r="DT807" s="24">
        <f t="shared" si="430"/>
        <v>0</v>
      </c>
      <c r="DU807" s="24">
        <f t="shared" si="430"/>
        <v>0</v>
      </c>
      <c r="DV807" s="18"/>
      <c r="DW807" s="48"/>
    </row>
    <row r="808" spans="1:130" s="366" customFormat="1">
      <c r="A808" s="210" t="s">
        <v>311</v>
      </c>
      <c r="B808" s="211"/>
      <c r="C808" s="8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30">
        <f>MEDIAN(S782:S805)</f>
        <v>0</v>
      </c>
      <c r="T808" s="10"/>
      <c r="U808" s="10"/>
      <c r="V808" s="10"/>
      <c r="W808" s="10"/>
      <c r="X808" s="5"/>
      <c r="Y808" s="10"/>
      <c r="Z808" s="8"/>
      <c r="AA808" s="10" t="str">
        <f>IF(ISERROR(MEDIAN(AA782:AA805)),"",MEDIAN(AA782:AA805))</f>
        <v/>
      </c>
      <c r="AB808" s="10"/>
      <c r="AC808" s="8"/>
      <c r="AD808" s="10"/>
      <c r="AE808" s="30"/>
      <c r="AF808" s="10"/>
      <c r="AG808" s="8"/>
      <c r="AH808" s="10"/>
      <c r="AI808" s="10">
        <f>IF(ISERROR(MEDIAN(AI782:AI805)),"",MEDIAN(AI782:AI805))</f>
        <v>220</v>
      </c>
      <c r="AJ808" s="5" t="str">
        <f>IF(ISERROR(MEDIAN(AJ782:AJ805)),"",MEDIAN(AJ782:AJ805))</f>
        <v/>
      </c>
      <c r="AK808" s="10"/>
      <c r="AL808" s="8"/>
      <c r="AM808" s="10"/>
      <c r="AN808" s="30"/>
      <c r="AO808" s="10"/>
      <c r="AP808" s="10"/>
      <c r="AQ808" s="30"/>
      <c r="AR808" s="10"/>
      <c r="AS808" s="10"/>
      <c r="AT808" s="10"/>
      <c r="AU808" s="10"/>
      <c r="AV808" s="5"/>
      <c r="AW808" s="10"/>
      <c r="AX808" s="326"/>
      <c r="AY808" s="5"/>
      <c r="AZ808" s="10"/>
      <c r="BA808" s="8" t="str">
        <f>IF(ISERROR(MEDIAN(BA782:BA805)),"",MEDIAN(BA782:BA805))</f>
        <v/>
      </c>
      <c r="BB808" s="10"/>
      <c r="BC808" s="10"/>
      <c r="BD808" s="10"/>
      <c r="BE808" s="10"/>
      <c r="BF808" s="10"/>
      <c r="BG808" s="10"/>
      <c r="BH808" s="30"/>
      <c r="BI808" s="10"/>
      <c r="BJ808" s="338"/>
      <c r="BK808" s="338"/>
      <c r="BL808" s="303"/>
      <c r="BM808" s="5"/>
      <c r="BN808" s="10"/>
      <c r="BO808" s="8"/>
      <c r="BP808" s="5"/>
      <c r="BQ808" s="10"/>
      <c r="BR808" s="65"/>
      <c r="BS808" s="19"/>
      <c r="BT808" s="14"/>
      <c r="BU808" s="10"/>
      <c r="BV808" s="8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  <c r="DF808" s="10"/>
      <c r="DG808" s="10"/>
      <c r="DH808" s="10"/>
      <c r="DI808" s="10"/>
      <c r="DJ808" s="10"/>
      <c r="DK808" s="10"/>
      <c r="DL808" s="10"/>
      <c r="DM808" s="10"/>
      <c r="DN808" s="10"/>
      <c r="DO808" s="10"/>
      <c r="DP808" s="10"/>
      <c r="DQ808" s="10"/>
      <c r="DR808" s="10"/>
      <c r="DS808" s="10"/>
      <c r="DT808" s="10"/>
      <c r="DU808" s="10"/>
      <c r="DV808" s="5"/>
      <c r="DW808" s="21"/>
    </row>
    <row r="809" spans="1:130" s="366" customFormat="1" ht="12" thickBot="1">
      <c r="A809" s="214" t="s">
        <v>312</v>
      </c>
      <c r="B809" s="195"/>
      <c r="C809" s="41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32">
        <f>MODE(S782:S805)</f>
        <v>0</v>
      </c>
      <c r="T809" s="22"/>
      <c r="U809" s="63"/>
      <c r="V809" s="63"/>
      <c r="W809" s="22"/>
      <c r="X809" s="42"/>
      <c r="Y809" s="22"/>
      <c r="Z809" s="41"/>
      <c r="AA809" s="22"/>
      <c r="AB809" s="22"/>
      <c r="AC809" s="41"/>
      <c r="AD809" s="22"/>
      <c r="AE809" s="32"/>
      <c r="AF809" s="22"/>
      <c r="AG809" s="41"/>
      <c r="AH809" s="22"/>
      <c r="AI809" s="22" t="str">
        <f>IF(ISERROR(MODE(AI782:AI805)),"",MODE(AI782:AI805))</f>
        <v/>
      </c>
      <c r="AJ809" s="42" t="str">
        <f>IF(ISERROR(MODE(AJ782:AJ805)),"",MODE(AJ782:AJ805))</f>
        <v/>
      </c>
      <c r="AK809" s="22"/>
      <c r="AL809" s="41"/>
      <c r="AM809" s="22"/>
      <c r="AN809" s="32"/>
      <c r="AO809" s="22"/>
      <c r="AP809" s="22"/>
      <c r="AQ809" s="32"/>
      <c r="AR809" s="22"/>
      <c r="AS809" s="22"/>
      <c r="AT809" s="22"/>
      <c r="AU809" s="22"/>
      <c r="AV809" s="42"/>
      <c r="AW809" s="22"/>
      <c r="AX809" s="331"/>
      <c r="AY809" s="42"/>
      <c r="AZ809" s="22"/>
      <c r="BA809" s="41"/>
      <c r="BB809" s="22"/>
      <c r="BC809" s="22"/>
      <c r="BD809" s="22"/>
      <c r="BE809" s="22"/>
      <c r="BF809" s="22"/>
      <c r="BG809" s="22"/>
      <c r="BH809" s="32"/>
      <c r="BI809" s="22"/>
      <c r="BJ809" s="341"/>
      <c r="BK809" s="341"/>
      <c r="BL809" s="306"/>
      <c r="BM809" s="42"/>
      <c r="BN809" s="22"/>
      <c r="BO809" s="41"/>
      <c r="BP809" s="42"/>
      <c r="BQ809" s="22"/>
      <c r="BR809" s="66"/>
      <c r="BS809" s="51"/>
      <c r="BT809" s="67"/>
      <c r="BU809" s="22"/>
      <c r="BV809" s="41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2"/>
      <c r="CP809" s="22"/>
      <c r="CQ809" s="22"/>
      <c r="CR809" s="22"/>
      <c r="CS809" s="22"/>
      <c r="CT809" s="22"/>
      <c r="CU809" s="22"/>
      <c r="CV809" s="22"/>
      <c r="CW809" s="22"/>
      <c r="CX809" s="22"/>
      <c r="CY809" s="22"/>
      <c r="CZ809" s="22"/>
      <c r="DA809" s="22"/>
      <c r="DB809" s="22"/>
      <c r="DC809" s="22"/>
      <c r="DD809" s="22"/>
      <c r="DE809" s="22"/>
      <c r="DF809" s="22"/>
      <c r="DG809" s="22"/>
      <c r="DH809" s="22"/>
      <c r="DI809" s="22"/>
      <c r="DJ809" s="22"/>
      <c r="DK809" s="22"/>
      <c r="DL809" s="22"/>
      <c r="DM809" s="22"/>
      <c r="DN809" s="22"/>
      <c r="DO809" s="22"/>
      <c r="DP809" s="22"/>
      <c r="DQ809" s="22"/>
      <c r="DR809" s="22"/>
      <c r="DS809" s="22"/>
      <c r="DT809" s="22"/>
      <c r="DU809" s="22"/>
      <c r="DV809" s="42"/>
      <c r="DW809" s="23"/>
    </row>
    <row r="810" spans="1:130" s="366" customFormat="1">
      <c r="A810" s="194" t="s">
        <v>182</v>
      </c>
      <c r="B810" s="194"/>
      <c r="C810" s="8">
        <f>COUNTA(C782:C805)</f>
        <v>2</v>
      </c>
      <c r="D810" s="10"/>
      <c r="E810" s="10"/>
      <c r="F810" s="10">
        <f>SUM(C806:F806)</f>
        <v>72</v>
      </c>
      <c r="G810" s="275">
        <f>G806/F810</f>
        <v>6.9444444444444448E-2</v>
      </c>
      <c r="H810" s="104">
        <f>H806/S806</f>
        <v>0</v>
      </c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30"/>
      <c r="T810" s="10"/>
      <c r="U810" s="98">
        <f>U806/S806</f>
        <v>0.45323741007194246</v>
      </c>
      <c r="V810" s="98">
        <f>V806/S806</f>
        <v>0.34532374100719426</v>
      </c>
      <c r="W810" s="276">
        <f>W806/S806</f>
        <v>1.4388489208633094E-2</v>
      </c>
      <c r="X810" s="276">
        <f>X806/S806</f>
        <v>0</v>
      </c>
      <c r="Y810" s="10"/>
      <c r="Z810" s="8"/>
      <c r="AA810" s="10"/>
      <c r="AB810" s="10"/>
      <c r="AC810" s="8"/>
      <c r="AD810" s="10"/>
      <c r="AE810" s="30"/>
      <c r="AF810" s="10"/>
      <c r="AG810" s="8"/>
      <c r="AH810" s="10"/>
      <c r="AI810" s="10"/>
      <c r="AJ810" s="5"/>
      <c r="AK810" s="10"/>
      <c r="AL810" s="8"/>
      <c r="AM810" s="10"/>
      <c r="AN810" s="30"/>
      <c r="AO810" s="10"/>
      <c r="AP810" s="10"/>
      <c r="AQ810" s="30"/>
      <c r="AR810" s="10"/>
      <c r="AS810" s="10"/>
      <c r="AT810" s="10"/>
      <c r="AU810" s="10"/>
      <c r="AV810" s="5"/>
      <c r="AW810" s="10"/>
      <c r="AX810" s="326"/>
      <c r="AY810" s="5"/>
      <c r="AZ810" s="10"/>
      <c r="BA810" s="8"/>
      <c r="BB810" s="10"/>
      <c r="BC810" s="10"/>
      <c r="BD810" s="10"/>
      <c r="BE810" s="10"/>
      <c r="BF810" s="10"/>
      <c r="BG810" s="10"/>
      <c r="BH810" s="30"/>
      <c r="BI810" s="10"/>
      <c r="BJ810" s="338"/>
      <c r="BK810" s="338"/>
      <c r="BL810" s="303"/>
      <c r="BM810" s="5"/>
      <c r="BN810" s="10"/>
      <c r="BO810" s="8"/>
      <c r="BP810" s="5"/>
      <c r="BQ810" s="10"/>
      <c r="BR810" s="65"/>
      <c r="BS810" s="19"/>
      <c r="BT810" s="14"/>
      <c r="BU810" s="10"/>
      <c r="BV810" s="8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  <c r="DD810" s="10"/>
      <c r="DE810" s="10"/>
      <c r="DF810" s="10"/>
      <c r="DG810" s="10"/>
      <c r="DH810" s="10"/>
      <c r="DI810" s="10"/>
      <c r="DJ810" s="10"/>
      <c r="DK810" s="10"/>
      <c r="DL810" s="10"/>
      <c r="DM810" s="10"/>
      <c r="DN810" s="10"/>
      <c r="DO810" s="10"/>
      <c r="DP810" s="10"/>
      <c r="DQ810" s="10"/>
      <c r="DR810" s="10"/>
      <c r="DS810" s="10"/>
      <c r="DT810" s="10"/>
      <c r="DU810" s="10"/>
      <c r="DV810" s="5"/>
      <c r="DW810" s="10"/>
    </row>
    <row r="811" spans="1:130" s="366" customFormat="1">
      <c r="A811" s="194"/>
      <c r="B811" s="194"/>
      <c r="C811" s="8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30"/>
      <c r="T811" s="10"/>
      <c r="U811" s="105"/>
      <c r="V811" s="105"/>
      <c r="W811" s="10"/>
      <c r="X811" s="5"/>
      <c r="Y811" s="10"/>
      <c r="Z811" s="8"/>
      <c r="AA811" s="10"/>
      <c r="AB811" s="10"/>
      <c r="AC811" s="8"/>
      <c r="AD811" s="10"/>
      <c r="AE811" s="30"/>
      <c r="AF811" s="10"/>
      <c r="AG811" s="8"/>
      <c r="AH811" s="10"/>
      <c r="AI811" s="10"/>
      <c r="AJ811" s="5"/>
      <c r="AK811" s="10"/>
      <c r="AL811" s="8"/>
      <c r="AM811" s="10"/>
      <c r="AN811" s="30"/>
      <c r="AO811" s="10"/>
      <c r="AP811" s="10"/>
      <c r="AQ811" s="30"/>
      <c r="AR811" s="10"/>
      <c r="AS811" s="10"/>
      <c r="AT811" s="10"/>
      <c r="AU811" s="10"/>
      <c r="AV811" s="5"/>
      <c r="AW811" s="10"/>
      <c r="AX811" s="326"/>
      <c r="AY811" s="5"/>
      <c r="AZ811" s="10"/>
      <c r="BA811" s="8"/>
      <c r="BB811" s="10"/>
      <c r="BC811" s="10"/>
      <c r="BD811" s="10"/>
      <c r="BE811" s="10"/>
      <c r="BF811" s="10"/>
      <c r="BG811" s="10"/>
      <c r="BH811" s="30"/>
      <c r="BI811" s="10"/>
      <c r="BJ811" s="338"/>
      <c r="BK811" s="338"/>
      <c r="BL811" s="303"/>
      <c r="BM811" s="5"/>
      <c r="BN811" s="10"/>
      <c r="BO811" s="8"/>
      <c r="BP811" s="5"/>
      <c r="BQ811" s="10"/>
      <c r="BR811" s="65"/>
      <c r="BS811" s="19"/>
      <c r="BT811" s="14"/>
      <c r="BU811" s="10"/>
      <c r="BV811" s="8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  <c r="DD811" s="10"/>
      <c r="DE811" s="10"/>
      <c r="DF811" s="10"/>
      <c r="DG811" s="10"/>
      <c r="DH811" s="10"/>
      <c r="DI811" s="10"/>
      <c r="DJ811" s="10"/>
      <c r="DK811" s="10"/>
      <c r="DL811" s="10"/>
      <c r="DM811" s="10"/>
      <c r="DN811" s="10"/>
      <c r="DO811" s="10"/>
      <c r="DP811" s="10"/>
      <c r="DQ811" s="10"/>
      <c r="DR811" s="10"/>
      <c r="DS811" s="10"/>
      <c r="DT811" s="10"/>
      <c r="DU811" s="10"/>
      <c r="DV811" s="5"/>
      <c r="DW811" s="10"/>
    </row>
    <row r="812" spans="1:130" s="366" customFormat="1">
      <c r="A812" s="194"/>
      <c r="B812" s="194"/>
      <c r="C812" s="8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30"/>
      <c r="T812" s="10"/>
      <c r="U812" s="10"/>
      <c r="V812" s="10"/>
      <c r="W812" s="10"/>
      <c r="X812" s="5"/>
      <c r="Y812" s="10"/>
      <c r="Z812" s="8"/>
      <c r="AA812" s="10"/>
      <c r="AB812" s="10"/>
      <c r="AC812" s="8"/>
      <c r="AD812" s="10"/>
      <c r="AE812" s="30"/>
      <c r="AF812" s="10"/>
      <c r="AG812" s="8"/>
      <c r="AH812" s="10"/>
      <c r="AI812" s="10"/>
      <c r="AJ812" s="5"/>
      <c r="AK812" s="10"/>
      <c r="AL812" s="8"/>
      <c r="AM812" s="10"/>
      <c r="AN812" s="30"/>
      <c r="AO812" s="10"/>
      <c r="AP812" s="10"/>
      <c r="AQ812" s="30"/>
      <c r="AR812" s="10"/>
      <c r="AS812" s="10"/>
      <c r="AT812" s="10"/>
      <c r="AU812" s="10"/>
      <c r="AV812" s="5"/>
      <c r="AW812" s="10"/>
      <c r="AX812" s="326"/>
      <c r="AY812" s="5"/>
      <c r="AZ812" s="10"/>
      <c r="BA812" s="8"/>
      <c r="BB812" s="10"/>
      <c r="BC812" s="10"/>
      <c r="BD812" s="10"/>
      <c r="BE812" s="10"/>
      <c r="BF812" s="10"/>
      <c r="BG812" s="10"/>
      <c r="BH812" s="30"/>
      <c r="BI812" s="10"/>
      <c r="BJ812" s="338"/>
      <c r="BK812" s="338"/>
      <c r="BL812" s="303"/>
      <c r="BM812" s="5"/>
      <c r="BN812" s="10"/>
      <c r="BO812" s="8"/>
      <c r="BP812" s="5"/>
      <c r="BQ812" s="10"/>
      <c r="BR812" s="65"/>
      <c r="BS812" s="19"/>
      <c r="BT812" s="14"/>
      <c r="BU812" s="10"/>
      <c r="BV812" s="8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  <c r="DD812" s="10"/>
      <c r="DE812" s="10"/>
      <c r="DF812" s="10"/>
      <c r="DG812" s="10"/>
      <c r="DH812" s="10"/>
      <c r="DI812" s="10"/>
      <c r="DJ812" s="10"/>
      <c r="DK812" s="10"/>
      <c r="DL812" s="10"/>
      <c r="DM812" s="10"/>
      <c r="DN812" s="10"/>
      <c r="DO812" s="10"/>
      <c r="DP812" s="10"/>
      <c r="DQ812" s="10"/>
      <c r="DR812" s="10"/>
      <c r="DS812" s="10"/>
      <c r="DT812" s="10"/>
      <c r="DU812" s="10"/>
      <c r="DV812" s="5"/>
      <c r="DW812" s="10"/>
    </row>
    <row r="813" spans="1:130" s="366" customFormat="1" ht="12" thickBot="1">
      <c r="A813" s="194"/>
      <c r="B813" s="194"/>
      <c r="C813" s="8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30"/>
      <c r="T813" s="10"/>
      <c r="U813" s="10"/>
      <c r="V813" s="10"/>
      <c r="W813" s="10"/>
      <c r="X813" s="5"/>
      <c r="Z813" s="8"/>
      <c r="AA813" s="10"/>
      <c r="AB813" s="10"/>
      <c r="AC813" s="8"/>
      <c r="AD813" s="10"/>
      <c r="AE813" s="30"/>
      <c r="AG813" s="8"/>
      <c r="AH813" s="10"/>
      <c r="AI813" s="10"/>
      <c r="AJ813" s="5"/>
      <c r="AL813" s="8"/>
      <c r="AM813" s="10"/>
      <c r="AN813" s="30"/>
      <c r="AO813" s="10"/>
      <c r="AP813" s="10"/>
      <c r="AQ813" s="30"/>
      <c r="AR813" s="10"/>
      <c r="AS813" s="10"/>
      <c r="AT813" s="10"/>
      <c r="AU813" s="10"/>
      <c r="AV813" s="5"/>
      <c r="AX813" s="326"/>
      <c r="AY813" s="5"/>
      <c r="BA813" s="8"/>
      <c r="BB813" s="10"/>
      <c r="BC813" s="10"/>
      <c r="BD813" s="10"/>
      <c r="BE813" s="10"/>
      <c r="BF813" s="10"/>
      <c r="BG813" s="10"/>
      <c r="BH813" s="30"/>
      <c r="BI813" s="10"/>
      <c r="BJ813" s="338"/>
      <c r="BK813" s="338"/>
      <c r="BL813" s="303"/>
      <c r="BM813" s="5"/>
      <c r="BO813" s="8"/>
      <c r="BP813" s="5"/>
      <c r="BR813" s="65"/>
      <c r="BS813" s="19"/>
      <c r="BT813" s="14"/>
      <c r="BV813" s="8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0"/>
      <c r="DE813" s="10"/>
      <c r="DF813" s="10"/>
      <c r="DG813" s="10"/>
      <c r="DH813" s="10"/>
      <c r="DI813" s="10"/>
      <c r="DJ813" s="10"/>
      <c r="DK813" s="10"/>
      <c r="DL813" s="10"/>
      <c r="DM813" s="10"/>
      <c r="DN813" s="10"/>
      <c r="DO813" s="10"/>
      <c r="DP813" s="10"/>
      <c r="DQ813" s="10"/>
      <c r="DR813" s="10"/>
      <c r="DS813" s="10"/>
      <c r="DT813" s="10"/>
      <c r="DU813" s="10"/>
      <c r="DV813" s="5"/>
    </row>
    <row r="814" spans="1:130" s="6" customFormat="1">
      <c r="A814" s="196" t="s">
        <v>123</v>
      </c>
      <c r="B814" s="196"/>
      <c r="C814" s="215">
        <f>SUM(C28,C57,C86,C115,C144,C173,C202,C231,C260,C289,C318,C347,C376,C405,C434,C465,C496,C527,C558,C588,C619,C650,C681,C712,C743,C774,C806)</f>
        <v>2124</v>
      </c>
      <c r="D814" s="25">
        <f t="shared" ref="D814:R814" si="431">SUM(D28,D57,D86,D115,D144,D173,D202,D231,D260,D289,D318,D347,D376,D405,D434,D465,D496,D527,D558,D588,D619,D650,D681,D712,D743,D774,D806)</f>
        <v>11169</v>
      </c>
      <c r="E814" s="25">
        <f t="shared" si="431"/>
        <v>1207</v>
      </c>
      <c r="F814" s="25">
        <f t="shared" si="431"/>
        <v>360</v>
      </c>
      <c r="G814" s="25">
        <f t="shared" si="431"/>
        <v>975</v>
      </c>
      <c r="H814" s="25">
        <f t="shared" si="431"/>
        <v>686</v>
      </c>
      <c r="I814" s="25">
        <f t="shared" si="431"/>
        <v>5</v>
      </c>
      <c r="J814" s="25">
        <f t="shared" si="431"/>
        <v>6789</v>
      </c>
      <c r="K814" s="25">
        <f t="shared" si="431"/>
        <v>244</v>
      </c>
      <c r="L814" s="25">
        <f t="shared" si="431"/>
        <v>95</v>
      </c>
      <c r="M814" s="25">
        <f t="shared" si="431"/>
        <v>10</v>
      </c>
      <c r="N814" s="25">
        <f t="shared" si="431"/>
        <v>0</v>
      </c>
      <c r="O814" s="25">
        <f t="shared" si="431"/>
        <v>5930</v>
      </c>
      <c r="P814" s="25">
        <f t="shared" si="431"/>
        <v>497</v>
      </c>
      <c r="Q814" s="25">
        <f t="shared" si="431"/>
        <v>73</v>
      </c>
      <c r="R814" s="44">
        <f t="shared" si="431"/>
        <v>114</v>
      </c>
      <c r="S814" s="33">
        <f t="shared" ref="S814:X814" si="432">SUM(S28,S57,S86,S115,S144,S173,S202,S231,S260,S289,S318,S347,S376,S405,S434,S465,S496,S527,S558,S588,S619,S650,S681,S712,S743,S774,S806)</f>
        <v>30278</v>
      </c>
      <c r="T814" s="25">
        <f t="shared" si="432"/>
        <v>868</v>
      </c>
      <c r="U814" s="25">
        <f t="shared" si="432"/>
        <v>5068</v>
      </c>
      <c r="V814" s="25">
        <f t="shared" si="432"/>
        <v>2629</v>
      </c>
      <c r="W814" s="25">
        <f t="shared" si="432"/>
        <v>210</v>
      </c>
      <c r="X814" s="44">
        <f t="shared" si="432"/>
        <v>124</v>
      </c>
      <c r="Y814" s="11"/>
      <c r="Z814" s="43">
        <f t="shared" ref="Z814:AA814" si="433">SUM(Z28,Z57,Z86,Z115,Z144,Z173,Z202,Z231,Z260,Z289,Z318,Z347,Z376,Z405,Z434,Z465,Z496,Z527,Z558,Z588,Z619,Z650,Z681,Z712,Z743,Z774,Z806)</f>
        <v>608001124</v>
      </c>
      <c r="AA814" s="44">
        <f t="shared" si="433"/>
        <v>265698227</v>
      </c>
      <c r="AB814" s="25"/>
      <c r="AC814" s="43">
        <f t="shared" ref="AC814:AE814" si="434">SUM(AC28,AC57,AC86,AC115,AC144,AC173,AC202,AC231,AC260,AC289,AC318,AC347,AC376,AC405,AC434,AC465,AC496,AC527,AC558,AC588,AC619,AC650,AC681,AC712,AC743,AC774,AC806)</f>
        <v>411266210</v>
      </c>
      <c r="AD814" s="44">
        <f t="shared" si="434"/>
        <v>187631547</v>
      </c>
      <c r="AE814" s="33">
        <f t="shared" si="434"/>
        <v>598897757</v>
      </c>
      <c r="AF814" s="11"/>
      <c r="AG814" s="43">
        <f t="shared" ref="AG814:AJ814" si="435">SUM(AG28,AG57,AG86,AG115,AG144,AG173,AG202,AG231,AG260,AG289,AG318,AG347,AG376,AG405,AG434,AG465,AG496,AG527,AG558,AG588,AG619,AG650,AG681,AG712,AG743,AG774,AG806)</f>
        <v>49769</v>
      </c>
      <c r="AH814" s="25">
        <f t="shared" si="435"/>
        <v>22497</v>
      </c>
      <c r="AI814" s="25">
        <f t="shared" si="435"/>
        <v>86807</v>
      </c>
      <c r="AJ814" s="44">
        <f t="shared" si="435"/>
        <v>8442</v>
      </c>
      <c r="AK814" s="11"/>
      <c r="AL814" s="43">
        <f t="shared" ref="AL814:AV814" si="436">SUM(AL28,AL57,AL86,AL115,AL144,AL173,AL202,AL231,AL260,AL289,AL318,AL347,AL376,AL405,AL434,AL465,AL496,AL527,AL558,AL588,AL619,AL650,AL681,AL712,AL743,AL774,AL806)</f>
        <v>1219</v>
      </c>
      <c r="AM814" s="44">
        <f t="shared" si="436"/>
        <v>5509</v>
      </c>
      <c r="AN814" s="33">
        <f t="shared" si="436"/>
        <v>6608</v>
      </c>
      <c r="AO814" s="43">
        <f t="shared" si="436"/>
        <v>3800</v>
      </c>
      <c r="AP814" s="44">
        <f t="shared" si="436"/>
        <v>504</v>
      </c>
      <c r="AQ814" s="33">
        <f t="shared" si="436"/>
        <v>4304</v>
      </c>
      <c r="AR814" s="43">
        <f t="shared" si="436"/>
        <v>45078</v>
      </c>
      <c r="AS814" s="25">
        <f t="shared" si="436"/>
        <v>15042</v>
      </c>
      <c r="AT814" s="25">
        <f t="shared" si="436"/>
        <v>26872</v>
      </c>
      <c r="AU814" s="25">
        <f t="shared" si="436"/>
        <v>4254</v>
      </c>
      <c r="AV814" s="44">
        <f t="shared" si="436"/>
        <v>53038</v>
      </c>
      <c r="AW814" s="11"/>
      <c r="AX814" s="332"/>
      <c r="AY814" s="44"/>
      <c r="AZ814" s="11"/>
      <c r="BA814" s="43">
        <f t="shared" ref="BA814:BD814" si="437">SUM(BA28,BA57,BA86,BA115,BA144,BA173,BA202,BA231,BA260,BA289,BA318,BA347,BA376,BA405,BA434,BA465,BA496,BA527,BA558,BA588,BA619,BA650,BA681,BA712,BA743,BA774,BA806)</f>
        <v>453262</v>
      </c>
      <c r="BB814" s="25">
        <f t="shared" si="437"/>
        <v>8977320581</v>
      </c>
      <c r="BC814" s="25">
        <f t="shared" si="437"/>
        <v>1475973120</v>
      </c>
      <c r="BD814" s="25">
        <f t="shared" si="437"/>
        <v>181637830</v>
      </c>
      <c r="BE814" s="25">
        <f t="shared" ref="BE814:BG814" si="438">SUM(BE28,BE57,BE86,BE115,BE144,BE173,BE202,BE231,BE260,BE289,BE318,BE347,BE376,BE405,BE434,BE465,BE496,BE527,BE558,BE588,BE619,BE650,BE681,BE712,BE743,BE774,BE806)</f>
        <v>17481</v>
      </c>
      <c r="BF814" s="25">
        <f t="shared" si="438"/>
        <v>1309</v>
      </c>
      <c r="BG814" s="25">
        <f t="shared" si="438"/>
        <v>730</v>
      </c>
      <c r="BH814" s="33"/>
      <c r="BI814" s="25">
        <f t="shared" ref="BI814" si="439">SUM(BI28,BI57,BI86,BI115,BI144,BI173,BI202,BI231,BI260,BI289,BI318,BI347,BI376,BI405,BI434,BI465,BI496,BI527,BI558,BI588,BI619,BI650,BI681,BI712,BI743,BI774,BI806)</f>
        <v>575663106</v>
      </c>
      <c r="BJ814" s="345"/>
      <c r="BK814" s="345"/>
      <c r="BL814" s="308"/>
      <c r="BM814" s="44">
        <f t="shared" ref="BM814" si="440">SUM(BM28,BM57,BM86,BM115,BM144,BM173,BM202,BM231,BM260,BM289,BM318,BM347,BM376,BM405,BM434,BM465,BM496,BM527,BM558,BM588,BM619,BM650,BM681,BM712,BM743,BM774,BM806)</f>
        <v>45918</v>
      </c>
      <c r="BN814" s="11"/>
      <c r="BO814" s="43">
        <f t="shared" ref="BO814:BP814" si="441">SUM(BO28,BO57,BO86,BO115,BO144,BO173,BO202,BO231,BO260,BO289,BO318,BO347,BO376,BO405,BO434,BO465,BO496,BO527,BO558,BO588,BO619,BO650,BO681,BO712,BO743,BO774,BO806)</f>
        <v>270</v>
      </c>
      <c r="BP814" s="44">
        <f t="shared" si="441"/>
        <v>31571</v>
      </c>
      <c r="BQ814" s="11"/>
      <c r="BR814" s="70" t="s">
        <v>124</v>
      </c>
      <c r="BS814" s="26"/>
      <c r="BT814" s="71"/>
      <c r="BU814" s="11"/>
      <c r="BV814" s="43">
        <f t="shared" ref="BV814:DV814" si="442">SUM(BV28,BV57,BV86,BV115,BV144,BV173,BV202,BV231,BV260,BV289,BV318,BV347,BV376,BV405,BV434,BV465,BV496,BV527,BV558,BV588,BV619,BV650,BV681,BV712,BV743,BV774,BV806)</f>
        <v>689</v>
      </c>
      <c r="BW814" s="25">
        <f t="shared" si="442"/>
        <v>592</v>
      </c>
      <c r="BX814" s="25">
        <f t="shared" si="442"/>
        <v>355</v>
      </c>
      <c r="BY814" s="25">
        <f t="shared" si="442"/>
        <v>7</v>
      </c>
      <c r="BZ814" s="25">
        <f t="shared" si="442"/>
        <v>15</v>
      </c>
      <c r="CA814" s="25">
        <f t="shared" si="442"/>
        <v>51</v>
      </c>
      <c r="CB814" s="25">
        <f t="shared" si="442"/>
        <v>13</v>
      </c>
      <c r="CC814" s="25">
        <f t="shared" si="442"/>
        <v>5</v>
      </c>
      <c r="CD814" s="25">
        <f t="shared" si="442"/>
        <v>1692</v>
      </c>
      <c r="CE814" s="25">
        <f t="shared" si="442"/>
        <v>152</v>
      </c>
      <c r="CF814" s="25">
        <f t="shared" si="442"/>
        <v>152</v>
      </c>
      <c r="CG814" s="25">
        <f t="shared" si="442"/>
        <v>207</v>
      </c>
      <c r="CH814" s="25">
        <f t="shared" si="442"/>
        <v>53</v>
      </c>
      <c r="CI814" s="25">
        <f t="shared" si="442"/>
        <v>1282</v>
      </c>
      <c r="CJ814" s="25">
        <f t="shared" si="442"/>
        <v>2190</v>
      </c>
      <c r="CK814" s="25">
        <f t="shared" si="442"/>
        <v>1</v>
      </c>
      <c r="CL814" s="25">
        <f t="shared" si="442"/>
        <v>14</v>
      </c>
      <c r="CM814" s="25">
        <f t="shared" si="442"/>
        <v>229</v>
      </c>
      <c r="CN814" s="25">
        <f t="shared" si="442"/>
        <v>71</v>
      </c>
      <c r="CO814" s="25">
        <f t="shared" si="442"/>
        <v>2040</v>
      </c>
      <c r="CP814" s="25">
        <f t="shared" si="442"/>
        <v>1</v>
      </c>
      <c r="CQ814" s="25">
        <f t="shared" si="442"/>
        <v>26</v>
      </c>
      <c r="CR814" s="25">
        <f t="shared" si="442"/>
        <v>0</v>
      </c>
      <c r="CS814" s="25">
        <f t="shared" si="442"/>
        <v>375</v>
      </c>
      <c r="CT814" s="25">
        <f t="shared" si="442"/>
        <v>1618</v>
      </c>
      <c r="CU814" s="25">
        <f t="shared" si="442"/>
        <v>350</v>
      </c>
      <c r="CV814" s="25">
        <f t="shared" si="442"/>
        <v>884</v>
      </c>
      <c r="CW814" s="25">
        <f t="shared" si="442"/>
        <v>10</v>
      </c>
      <c r="CX814" s="25">
        <f t="shared" si="442"/>
        <v>16</v>
      </c>
      <c r="CY814" s="25">
        <f t="shared" si="442"/>
        <v>334</v>
      </c>
      <c r="CZ814" s="25">
        <f t="shared" si="442"/>
        <v>12</v>
      </c>
      <c r="DA814" s="25">
        <f t="shared" si="442"/>
        <v>28</v>
      </c>
      <c r="DB814" s="25">
        <f t="shared" si="442"/>
        <v>1900</v>
      </c>
      <c r="DC814" s="25">
        <f t="shared" si="442"/>
        <v>128</v>
      </c>
      <c r="DD814" s="25">
        <f t="shared" si="442"/>
        <v>17</v>
      </c>
      <c r="DE814" s="25">
        <f t="shared" si="442"/>
        <v>5</v>
      </c>
      <c r="DF814" s="25">
        <f t="shared" si="442"/>
        <v>4</v>
      </c>
      <c r="DG814" s="25">
        <f t="shared" si="442"/>
        <v>743</v>
      </c>
      <c r="DH814" s="25">
        <f t="shared" si="442"/>
        <v>276</v>
      </c>
      <c r="DI814" s="25">
        <f t="shared" si="442"/>
        <v>289</v>
      </c>
      <c r="DJ814" s="25">
        <f t="shared" si="442"/>
        <v>142</v>
      </c>
      <c r="DK814" s="25">
        <f t="shared" si="442"/>
        <v>8</v>
      </c>
      <c r="DL814" s="25">
        <f t="shared" si="442"/>
        <v>15</v>
      </c>
      <c r="DM814" s="25">
        <f t="shared" si="442"/>
        <v>829</v>
      </c>
      <c r="DN814" s="25">
        <f t="shared" si="442"/>
        <v>34</v>
      </c>
      <c r="DO814" s="25">
        <f t="shared" si="442"/>
        <v>494</v>
      </c>
      <c r="DP814" s="25">
        <f t="shared" si="442"/>
        <v>12</v>
      </c>
      <c r="DQ814" s="25">
        <f t="shared" si="442"/>
        <v>4</v>
      </c>
      <c r="DR814" s="25">
        <f t="shared" si="442"/>
        <v>1</v>
      </c>
      <c r="DS814" s="25">
        <f t="shared" si="442"/>
        <v>495</v>
      </c>
      <c r="DT814" s="25">
        <f t="shared" si="442"/>
        <v>442</v>
      </c>
      <c r="DU814" s="25">
        <f t="shared" si="442"/>
        <v>105</v>
      </c>
      <c r="DV814" s="25">
        <f t="shared" si="442"/>
        <v>19407</v>
      </c>
      <c r="DW814" s="50"/>
    </row>
    <row r="815" spans="1:130" s="6" customFormat="1" ht="12" thickBot="1">
      <c r="A815" s="197" t="s">
        <v>125</v>
      </c>
      <c r="B815" s="197"/>
      <c r="C815" s="216">
        <f>AVERAGE(C28,C57,C86,C115,C144,C173,C202,C231,C260,C289,C318,C347,C376,C405,C434,C465,C496,C527,C558,C588,C619,C650,C681,C712,C744,C775,C807)</f>
        <v>72.740740740740748</v>
      </c>
      <c r="D815" s="27">
        <f t="shared" ref="D815:R815" si="443">AVERAGE(D28,D57,D86,D115,D144,D173,D202,D231,D260,D289,D318,D347,D376,D405,D434,D465,D496,D527,D558,D588,D619,D650,D681,D712,D744,D775,D807)</f>
        <v>377.92592592592592</v>
      </c>
      <c r="E815" s="27">
        <f t="shared" si="443"/>
        <v>41.037037037037038</v>
      </c>
      <c r="F815" s="27">
        <f t="shared" si="443"/>
        <v>12.148148148148149</v>
      </c>
      <c r="G815" s="27">
        <f t="shared" si="443"/>
        <v>33.703703703703702</v>
      </c>
      <c r="H815" s="27">
        <f t="shared" si="443"/>
        <v>23.925925925925927</v>
      </c>
      <c r="I815" s="27">
        <f t="shared" si="443"/>
        <v>0.18518518518518517</v>
      </c>
      <c r="J815" s="27">
        <f t="shared" si="443"/>
        <v>212.85185185185185</v>
      </c>
      <c r="K815" s="27">
        <f t="shared" si="443"/>
        <v>6.6296296296296298</v>
      </c>
      <c r="L815" s="27">
        <f t="shared" si="443"/>
        <v>2.925925925925926</v>
      </c>
      <c r="M815" s="27">
        <f t="shared" si="443"/>
        <v>0.6</v>
      </c>
      <c r="N815" s="27">
        <f t="shared" si="443"/>
        <v>0</v>
      </c>
      <c r="O815" s="27">
        <f t="shared" si="443"/>
        <v>210.14814814814815</v>
      </c>
      <c r="P815" s="27">
        <f t="shared" si="443"/>
        <v>16.666666666666668</v>
      </c>
      <c r="Q815" s="27">
        <f t="shared" si="443"/>
        <v>2.5185185185185186</v>
      </c>
      <c r="R815" s="46">
        <f t="shared" si="443"/>
        <v>4.2222222222222223</v>
      </c>
      <c r="S815" s="45">
        <f t="shared" ref="S815:X815" si="444">AVERAGE(S28,S57,S86,S115,S144,S173,S202,S231,S260,S289,S318,S347,S376,S405,S434,S465,S496,S527,S558,S588,S619,S650,S681,S712,S744,S775,S807)</f>
        <v>1017.9629629629629</v>
      </c>
      <c r="T815" s="45">
        <f t="shared" si="444"/>
        <v>32.148148148148145</v>
      </c>
      <c r="U815" s="27">
        <f t="shared" si="444"/>
        <v>169.14814814814815</v>
      </c>
      <c r="V815" s="27">
        <f t="shared" si="444"/>
        <v>81.629629629629633</v>
      </c>
      <c r="W815" s="27">
        <f t="shared" si="444"/>
        <v>7.6296296296296298</v>
      </c>
      <c r="X815" s="46">
        <f t="shared" si="444"/>
        <v>4.2592592592592595</v>
      </c>
      <c r="Y815" s="63"/>
      <c r="Z815" s="45">
        <f t="shared" ref="Z815:AA815" si="445">AVERAGE(Z28,Z57,Z86,Z115,Z144,Z173,Z202,Z231,Z260,Z289,Z318,Z347,Z376,Z405,Z434,Z465,Z496,Z527,Z558,Z588,Z619,Z650,Z681,Z712,Z744,Z775,Z807)</f>
        <v>21829208</v>
      </c>
      <c r="AA815" s="46">
        <f t="shared" si="445"/>
        <v>9840675.0740740746</v>
      </c>
      <c r="AB815" s="27"/>
      <c r="AC815" s="45">
        <f t="shared" ref="AC815:AE815" si="446">AVERAGE(AC28,AC57,AC86,AC115,AC144,AC173,AC202,AC231,AC260,AC289,AC318,AC347,AC376,AC405,AC434,AC465,AC496,AC527,AC558,AC588,AC619,AC650,AC681,AC712,AC744,AC775,AC807)</f>
        <v>11130772.703703703</v>
      </c>
      <c r="AD815" s="46">
        <f t="shared" si="446"/>
        <v>6949316.555555556</v>
      </c>
      <c r="AE815" s="34">
        <f t="shared" si="446"/>
        <v>18080089.259259257</v>
      </c>
      <c r="AF815" s="63"/>
      <c r="AG815" s="45">
        <f t="shared" ref="AG815:AJ815" si="447">AVERAGE(AG28,AG57,AG86,AG115,AG144,AG173,AG202,AG231,AG260,AG289,AG318,AG347,AG376,AG405,AG434,AG465,AG496,AG527,AG558,AG588,AG619,AG650,AG681,AG712,AG744,AG775,AG807)</f>
        <v>1667.5925925925926</v>
      </c>
      <c r="AH815" s="27">
        <f t="shared" si="447"/>
        <v>741.74074074074076</v>
      </c>
      <c r="AI815" s="27">
        <f t="shared" si="447"/>
        <v>2919.4444444444443</v>
      </c>
      <c r="AJ815" s="46">
        <f t="shared" si="447"/>
        <v>312.66666666666669</v>
      </c>
      <c r="AK815" s="63"/>
      <c r="AL815" s="45">
        <f t="shared" ref="AL815:AV815" si="448">AVERAGE(AL28,AL57,AL86,AL115,AL144,AL173,AL202,AL231,AL260,AL289,AL318,AL347,AL376,AL405,AL434,AL465,AL496,AL527,AL558,AL588,AL619,AL650,AL681,AL712,AL744,AL775,AL807)</f>
        <v>45.148148148148145</v>
      </c>
      <c r="AM815" s="46">
        <f t="shared" si="448"/>
        <v>196.44444444444446</v>
      </c>
      <c r="AN815" s="34">
        <f t="shared" si="448"/>
        <v>237.14814814814815</v>
      </c>
      <c r="AO815" s="45">
        <f t="shared" si="448"/>
        <v>253.33333333333334</v>
      </c>
      <c r="AP815" s="46">
        <f t="shared" si="448"/>
        <v>33.6</v>
      </c>
      <c r="AQ815" s="34">
        <f t="shared" si="448"/>
        <v>286.93333333333334</v>
      </c>
      <c r="AR815" s="45">
        <f t="shared" si="448"/>
        <v>1404.7037037037037</v>
      </c>
      <c r="AS815" s="27">
        <f t="shared" si="448"/>
        <v>418.92592592592592</v>
      </c>
      <c r="AT815" s="27">
        <f t="shared" si="448"/>
        <v>771.14814814814815</v>
      </c>
      <c r="AU815" s="27">
        <f t="shared" si="448"/>
        <v>131.40740740740742</v>
      </c>
      <c r="AV815" s="46">
        <f t="shared" si="448"/>
        <v>1517.7407407407406</v>
      </c>
      <c r="AW815" s="63"/>
      <c r="AX815" s="333"/>
      <c r="AY815" s="46"/>
      <c r="AZ815" s="63"/>
      <c r="BA815" s="45">
        <f t="shared" ref="BA815:BD815" si="449">AVERAGE(BA28,BA57,BA86,BA115,BA144,BA173,BA202,BA231,BA260,BA289,BA318,BA347,BA376,BA405,BA434,BA465,BA496,BA527,BA558,BA588,BA619,BA650,BA681,BA712,BA744,BA775,BA807)</f>
        <v>15166.814814814816</v>
      </c>
      <c r="BB815" s="27">
        <f t="shared" si="449"/>
        <v>273673898.4074074</v>
      </c>
      <c r="BC815" s="27">
        <f t="shared" si="449"/>
        <v>54665671.111111112</v>
      </c>
      <c r="BD815" s="27">
        <f t="shared" si="449"/>
        <v>3027297.2</v>
      </c>
      <c r="BE815" s="27">
        <f t="shared" ref="BE815:BG815" si="450">AVERAGE(BE28,BE57,BE86,BE115,BE144,BE173,BE202,BE231,BE260,BE289,BE318,BE347,BE376,BE405,BE434,BE465,BE496,BE527,BE558,BE588,BE619,BE650,BE681,BE712,BE744,BE775,BE807)</f>
        <v>572.18518518518522</v>
      </c>
      <c r="BF815" s="27">
        <f t="shared" si="450"/>
        <v>43.148148148148145</v>
      </c>
      <c r="BG815" s="27">
        <f t="shared" si="450"/>
        <v>23.185185185185187</v>
      </c>
      <c r="BH815" s="34"/>
      <c r="BI815" s="27">
        <f t="shared" ref="BI815" si="451">AVERAGE(BI28,BI57,BI86,BI115,BI144,BI173,BI202,BI231,BI260,BI289,BI318,BI347,BI376,BI405,BI434,BI465,BI496,BI527,BI558,BI588,BI619,BI650,BI681,BI712,BI744,BI775,BI807)</f>
        <v>17694071.962962963</v>
      </c>
      <c r="BJ815" s="346"/>
      <c r="BK815" s="346"/>
      <c r="BL815" s="309"/>
      <c r="BM815" s="46">
        <f t="shared" ref="BM815" si="452">AVERAGE(BM28,BM57,BM86,BM115,BM144,BM173,BM202,BM231,BM260,BM289,BM318,BM347,BM376,BM405,BM434,BM465,BM496,BM527,BM558,BM588,BM619,BM650,BM681,BM712,BM744,BM775,BM807)</f>
        <v>1700.6666666666667</v>
      </c>
      <c r="BN815" s="63"/>
      <c r="BO815" s="45">
        <f t="shared" ref="BO815:BP815" si="453">AVERAGE(BO28,BO57,BO86,BO115,BO144,BO173,BO202,BO231,BO260,BO289,BO318,BO347,BO376,BO405,BO434,BO465,BO496,BO527,BO558,BO588,BO619,BO650,BO681,BO712,BO744,BO775,BO807)</f>
        <v>10</v>
      </c>
      <c r="BP815" s="46">
        <f t="shared" si="453"/>
        <v>1033.0740740740741</v>
      </c>
      <c r="BQ815" s="63"/>
      <c r="BR815" s="72" t="s">
        <v>126</v>
      </c>
      <c r="BS815" s="28"/>
      <c r="BT815" s="73"/>
      <c r="BU815" s="63"/>
      <c r="BV815" s="45">
        <f t="shared" ref="BV815:DU815" si="454">AVERAGE(BV28,BV57,BV86,BV115,BV144,BV173,BV202,BV231,BV260,BV289,BV318,BV347,BV376,BV405,BV434,BV465,BV496,BV527,BV558,BV588,BV619,BV650,BV681,BV712,BV744,BV775,BV807)</f>
        <v>22.703703703703702</v>
      </c>
      <c r="BW815" s="27">
        <f t="shared" si="454"/>
        <v>19.888888888888889</v>
      </c>
      <c r="BX815" s="27">
        <f t="shared" si="454"/>
        <v>10.481481481481481</v>
      </c>
      <c r="BY815" s="27">
        <f t="shared" si="454"/>
        <v>0.14814814814814814</v>
      </c>
      <c r="BZ815" s="27">
        <f t="shared" si="454"/>
        <v>0.55555555555555558</v>
      </c>
      <c r="CA815" s="27">
        <f t="shared" si="454"/>
        <v>1.6296296296296295</v>
      </c>
      <c r="CB815" s="27">
        <f t="shared" si="454"/>
        <v>0.48148148148148145</v>
      </c>
      <c r="CC815" s="27">
        <f t="shared" si="454"/>
        <v>0.1111111111111111</v>
      </c>
      <c r="CD815" s="27">
        <f t="shared" si="454"/>
        <v>55.851851851851855</v>
      </c>
      <c r="CE815" s="27">
        <f t="shared" si="454"/>
        <v>3.6666666666666665</v>
      </c>
      <c r="CF815" s="27">
        <f t="shared" si="454"/>
        <v>5.6296296296296298</v>
      </c>
      <c r="CG815" s="27">
        <f t="shared" si="454"/>
        <v>6.2592592592592595</v>
      </c>
      <c r="CH815" s="27">
        <f t="shared" si="454"/>
        <v>1.8518518518518519</v>
      </c>
      <c r="CI815" s="27">
        <f t="shared" si="454"/>
        <v>37.74074074074074</v>
      </c>
      <c r="CJ815" s="27">
        <f t="shared" si="454"/>
        <v>66.407407407407405</v>
      </c>
      <c r="CK815" s="27">
        <f t="shared" si="454"/>
        <v>3.7037037037037035E-2</v>
      </c>
      <c r="CL815" s="27">
        <f t="shared" si="454"/>
        <v>0.51851851851851849</v>
      </c>
      <c r="CM815" s="27">
        <f t="shared" si="454"/>
        <v>7.4444444444444446</v>
      </c>
      <c r="CN815" s="27">
        <f t="shared" si="454"/>
        <v>1.7407407407407407</v>
      </c>
      <c r="CO815" s="27">
        <f t="shared" si="454"/>
        <v>62.888888888888886</v>
      </c>
      <c r="CP815" s="27">
        <f t="shared" si="454"/>
        <v>3.7037037037037035E-2</v>
      </c>
      <c r="CQ815" s="27">
        <f t="shared" si="454"/>
        <v>0.96296296296296291</v>
      </c>
      <c r="CR815" s="27">
        <f t="shared" si="454"/>
        <v>0</v>
      </c>
      <c r="CS815" s="27">
        <f t="shared" si="454"/>
        <v>12.888888888888889</v>
      </c>
      <c r="CT815" s="27">
        <f t="shared" si="454"/>
        <v>54.888888888888886</v>
      </c>
      <c r="CU815" s="27">
        <f t="shared" si="454"/>
        <v>12.962962962962964</v>
      </c>
      <c r="CV815" s="27">
        <f t="shared" si="454"/>
        <v>28.518518518518519</v>
      </c>
      <c r="CW815" s="27">
        <f t="shared" si="454"/>
        <v>0.37037037037037035</v>
      </c>
      <c r="CX815" s="27">
        <f t="shared" si="454"/>
        <v>0.44444444444444442</v>
      </c>
      <c r="CY815" s="27">
        <f t="shared" si="454"/>
        <v>10</v>
      </c>
      <c r="CZ815" s="27">
        <f t="shared" si="454"/>
        <v>0.44444444444444442</v>
      </c>
      <c r="DA815" s="27">
        <f t="shared" si="454"/>
        <v>0.96296296296296291</v>
      </c>
      <c r="DB815" s="27">
        <f t="shared" si="454"/>
        <v>61.925925925925924</v>
      </c>
      <c r="DC815" s="27">
        <f t="shared" si="454"/>
        <v>3.1851851851851851</v>
      </c>
      <c r="DD815" s="27">
        <f t="shared" si="454"/>
        <v>0.40740740740740738</v>
      </c>
      <c r="DE815" s="27">
        <f t="shared" si="454"/>
        <v>0.18518518518518517</v>
      </c>
      <c r="DF815" s="27">
        <f t="shared" si="454"/>
        <v>0.1111111111111111</v>
      </c>
      <c r="DG815" s="27">
        <f t="shared" si="454"/>
        <v>24.148148148148149</v>
      </c>
      <c r="DH815" s="27">
        <f t="shared" si="454"/>
        <v>8.7777777777777786</v>
      </c>
      <c r="DI815" s="27">
        <f t="shared" si="454"/>
        <v>9.2962962962962958</v>
      </c>
      <c r="DJ815" s="27">
        <f t="shared" si="454"/>
        <v>4.4814814814814818</v>
      </c>
      <c r="DK815" s="27">
        <f t="shared" si="454"/>
        <v>0.22222222222222221</v>
      </c>
      <c r="DL815" s="27">
        <f t="shared" si="454"/>
        <v>0.55555555555555558</v>
      </c>
      <c r="DM815" s="27">
        <f t="shared" si="454"/>
        <v>27.925925925925927</v>
      </c>
      <c r="DN815" s="27">
        <f t="shared" si="454"/>
        <v>1.2222222222222223</v>
      </c>
      <c r="DO815" s="27">
        <f t="shared" si="454"/>
        <v>15.185185185185185</v>
      </c>
      <c r="DP815" s="27">
        <f t="shared" si="454"/>
        <v>0.44444444444444442</v>
      </c>
      <c r="DQ815" s="27">
        <f t="shared" si="454"/>
        <v>0.1111111111111111</v>
      </c>
      <c r="DR815" s="27">
        <f t="shared" si="454"/>
        <v>3.7037037037037035E-2</v>
      </c>
      <c r="DS815" s="27">
        <f t="shared" si="454"/>
        <v>14.666666666666666</v>
      </c>
      <c r="DT815" s="27">
        <f t="shared" si="454"/>
        <v>16.37037037037037</v>
      </c>
      <c r="DU815" s="27">
        <f t="shared" si="454"/>
        <v>3.8888888888888888</v>
      </c>
      <c r="DV815" s="46"/>
      <c r="DW815" s="49"/>
    </row>
    <row r="816" spans="1:130" customFormat="1" ht="12" thickBot="1">
      <c r="A816" s="194"/>
      <c r="B816" s="194"/>
      <c r="C816" s="56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60"/>
      <c r="T816" s="57"/>
      <c r="U816" s="57"/>
      <c r="V816" s="57"/>
      <c r="W816" s="57"/>
      <c r="X816" s="58"/>
      <c r="Z816" s="56"/>
      <c r="AA816" s="57"/>
      <c r="AB816" s="57"/>
      <c r="AC816" s="56"/>
      <c r="AD816" s="57"/>
      <c r="AE816" s="60"/>
      <c r="AG816" s="56"/>
      <c r="AH816" s="57"/>
      <c r="AI816" s="57"/>
      <c r="AJ816" s="58"/>
      <c r="AL816" s="56"/>
      <c r="AM816" s="57"/>
      <c r="AN816" s="60"/>
      <c r="AO816" s="57"/>
      <c r="AP816" s="57"/>
      <c r="AQ816" s="60"/>
      <c r="AR816" s="57"/>
      <c r="AS816" s="57"/>
      <c r="AT816" s="57"/>
      <c r="AU816" s="57"/>
      <c r="AV816" s="58"/>
      <c r="AX816" s="334"/>
      <c r="AY816" s="58"/>
      <c r="AZ816" s="324"/>
      <c r="BA816" s="56"/>
      <c r="BB816" s="57"/>
      <c r="BC816" s="57"/>
      <c r="BD816" s="57"/>
      <c r="BE816" s="57"/>
      <c r="BF816" s="57"/>
      <c r="BG816" s="57"/>
      <c r="BH816" s="60"/>
      <c r="BI816" s="57"/>
      <c r="BJ816" s="347"/>
      <c r="BK816" s="347"/>
      <c r="BL816" s="310"/>
      <c r="BM816" s="58" t="s">
        <v>192</v>
      </c>
      <c r="BO816" s="56"/>
      <c r="BP816" s="58"/>
      <c r="BR816" s="66"/>
      <c r="BS816" s="51"/>
      <c r="BT816" s="67"/>
      <c r="BV816" s="56"/>
      <c r="BW816" s="57"/>
      <c r="BX816" s="57"/>
      <c r="BY816" s="57"/>
      <c r="BZ816" s="57"/>
      <c r="CA816" s="57"/>
      <c r="CB816" s="57"/>
      <c r="CC816" s="57"/>
      <c r="CD816" s="57"/>
      <c r="CE816" s="57"/>
      <c r="CF816" s="57"/>
      <c r="CG816" s="57"/>
      <c r="CH816" s="57"/>
      <c r="CI816" s="57"/>
      <c r="CJ816" s="57"/>
      <c r="CK816" s="57"/>
      <c r="CL816" s="57"/>
      <c r="CM816" s="57"/>
      <c r="CN816" s="57"/>
      <c r="CO816" s="57"/>
      <c r="CP816" s="57"/>
      <c r="CQ816" s="57"/>
      <c r="CR816" s="57"/>
      <c r="CS816" s="57"/>
      <c r="CT816" s="57"/>
      <c r="CU816" s="57"/>
      <c r="CV816" s="57"/>
      <c r="CW816" s="57"/>
      <c r="CX816" s="57"/>
      <c r="CY816" s="57"/>
      <c r="CZ816" s="57"/>
      <c r="DA816" s="57"/>
      <c r="DB816" s="57"/>
      <c r="DC816" s="57"/>
      <c r="DD816" s="57"/>
      <c r="DE816" s="57"/>
      <c r="DF816" s="57"/>
      <c r="DG816" s="57"/>
      <c r="DH816" s="57"/>
      <c r="DI816" s="57"/>
      <c r="DJ816" s="57"/>
      <c r="DK816" s="57"/>
      <c r="DL816" s="57"/>
      <c r="DM816" s="57"/>
      <c r="DN816" s="57"/>
      <c r="DO816" s="57"/>
      <c r="DP816" s="57"/>
      <c r="DQ816" s="57"/>
      <c r="DR816" s="57"/>
      <c r="DS816" s="57"/>
      <c r="DT816" s="57"/>
      <c r="DU816" s="57"/>
      <c r="DV816" s="58"/>
    </row>
    <row r="817" spans="3:24">
      <c r="C817" s="6"/>
      <c r="D817" s="6"/>
      <c r="E817" s="376">
        <f>SUM(C814:F814)</f>
        <v>14860</v>
      </c>
      <c r="F817" s="376"/>
      <c r="G817" s="277">
        <f>G814/E817</f>
        <v>6.5612382234185737E-2</v>
      </c>
      <c r="H817" s="277">
        <f>H814/S814</f>
        <v>2.2656714446132504E-2</v>
      </c>
      <c r="I817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90" spans="53:56">
      <c r="BA890" s="6"/>
      <c r="BB890" s="6"/>
      <c r="BC890" s="3"/>
      <c r="BD890" s="3"/>
    </row>
    <row r="896" spans="53:56">
      <c r="BA896" s="6"/>
      <c r="BB896" s="6"/>
      <c r="BC896" s="3"/>
      <c r="BD896" s="3"/>
    </row>
  </sheetData>
  <mergeCells count="10">
    <mergeCell ref="BV2:DV2"/>
    <mergeCell ref="BO2:BP2"/>
    <mergeCell ref="BA2:BM2"/>
    <mergeCell ref="AG2:AJ2"/>
    <mergeCell ref="E817:F817"/>
    <mergeCell ref="C2:X2"/>
    <mergeCell ref="BR2:BT2"/>
    <mergeCell ref="Z2:AE2"/>
    <mergeCell ref="AL2:AV2"/>
    <mergeCell ref="AX2:AY2"/>
  </mergeCells>
  <phoneticPr fontId="0" type="noConversion"/>
  <printOptions gridLines="1" gridLinesSet="0"/>
  <pageMargins left="0.5" right="0.5" top="1" bottom="0.4" header="0.25" footer="0.25"/>
  <pageSetup fitToWidth="4" fitToHeight="21" pageOrder="overThenDown" orientation="landscape" horizontalDpi="4294967292" verticalDpi="4294967292" r:id="rId1"/>
  <headerFooter alignWithMargins="0">
    <oddFooter>&amp;L&amp;F&amp;C&amp;P of &amp;N&amp;R&amp;T  &amp;D</oddFooter>
  </headerFooter>
  <rowBreaks count="25" manualBreakCount="25">
    <brk id="32" max="16383" man="1"/>
    <brk id="61" max="16383" man="1"/>
    <brk id="90" max="16383" man="1"/>
    <brk id="119" max="16383" man="1"/>
    <brk id="148" max="16383" man="1"/>
    <brk id="177" max="16383" man="1"/>
    <brk id="206" max="16383" man="1"/>
    <brk id="235" max="16383" man="1"/>
    <brk id="264" max="16383" man="1"/>
    <brk id="293" max="16383" man="1"/>
    <brk id="322" max="16383" man="1"/>
    <brk id="351" max="16383" man="1"/>
    <brk id="380" max="16383" man="1"/>
    <brk id="409" max="16383" man="1"/>
    <brk id="440" max="16383" man="1"/>
    <brk id="471" max="16383" man="1"/>
    <brk id="502" max="16383" man="1"/>
    <brk id="533" max="16383" man="1"/>
    <brk id="563" max="16383" man="1"/>
    <brk id="594" max="16383" man="1"/>
    <brk id="625" max="16383" man="1"/>
    <brk id="656" max="16383" man="1"/>
    <brk id="687" max="16383" man="1"/>
    <brk id="718" max="16383" man="1"/>
    <brk id="749" max="16383" man="1"/>
  </rowBreaks>
  <ignoredErrors>
    <ignoredError sqref="S4:S5" formulaRange="1"/>
    <ignoredError sqref="S28:S29 S57:S5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128"/>
  <sheetViews>
    <sheetView workbookViewId="0">
      <pane xSplit="1" ySplit="4" topLeftCell="C98" activePane="bottomRight" state="frozenSplit"/>
      <selection pane="topRight" activeCell="AN479" sqref="AN479"/>
      <selection pane="bottomLeft" activeCell="AN479" sqref="AN479"/>
      <selection pane="bottomRight" activeCell="Q127" sqref="Q127"/>
    </sheetView>
  </sheetViews>
  <sheetFormatPr defaultColWidth="9.33203125" defaultRowHeight="11.25"/>
  <cols>
    <col min="1" max="1" width="13.83203125" customWidth="1"/>
    <col min="2" max="2" width="1.83203125" customWidth="1"/>
    <col min="3" max="3" width="8" customWidth="1"/>
    <col min="4" max="4" width="7.33203125" customWidth="1"/>
    <col min="5" max="15" width="5.83203125" customWidth="1"/>
    <col min="16" max="16" width="10" customWidth="1"/>
    <col min="17" max="17" width="6.83203125" customWidth="1"/>
    <col min="18" max="18" width="6.5" customWidth="1"/>
    <col min="19" max="19" width="8.83203125" customWidth="1"/>
    <col min="20" max="20" width="6.5" customWidth="1"/>
    <col min="21" max="21" width="11.5" customWidth="1"/>
    <col min="22" max="22" width="11.5" style="298" customWidth="1"/>
    <col min="23" max="23" width="7.83203125" customWidth="1"/>
    <col min="24" max="24" width="10.1640625" customWidth="1"/>
    <col min="25" max="25" width="1.83203125" style="10" customWidth="1"/>
    <col min="26" max="26" width="12.33203125" customWidth="1"/>
    <col min="27" max="27" width="15.1640625" customWidth="1"/>
    <col min="28" max="28" width="1.83203125" customWidth="1"/>
    <col min="29" max="29" width="11.83203125" customWidth="1"/>
    <col min="30" max="30" width="12.33203125" customWidth="1"/>
    <col min="31" max="31" width="13.5" customWidth="1"/>
    <col min="32" max="32" width="3.33203125" style="10" customWidth="1"/>
    <col min="33" max="33" width="9" customWidth="1"/>
    <col min="34" max="34" width="7.5" customWidth="1"/>
    <col min="35" max="35" width="8.1640625" customWidth="1"/>
    <col min="36" max="36" width="9.1640625"/>
    <col min="37" max="37" width="3.33203125" style="10" customWidth="1"/>
    <col min="38" max="38" width="8.33203125" customWidth="1"/>
    <col min="39" max="39" width="8.1640625" customWidth="1"/>
    <col min="40" max="40" width="11" customWidth="1"/>
    <col min="41" max="41" width="7.5" customWidth="1"/>
    <col min="42" max="42" width="7.6640625" customWidth="1"/>
    <col min="43" max="46" width="10.83203125" customWidth="1"/>
    <col min="47" max="47" width="12.1640625" style="10" customWidth="1"/>
    <col min="48" max="48" width="12.1640625" customWidth="1"/>
    <col min="49" max="49" width="3.33203125" style="10" customWidth="1"/>
    <col min="50" max="50" width="9.1640625"/>
    <col min="51" max="51" width="12.6640625" customWidth="1"/>
    <col min="52" max="52" width="3.33203125" customWidth="1"/>
    <col min="53" max="53" width="11.83203125" style="318" customWidth="1"/>
    <col min="54" max="54" width="12.1640625" customWidth="1"/>
    <col min="55" max="55" width="12.5" customWidth="1"/>
    <col min="56" max="56" width="10.6640625" customWidth="1"/>
    <col min="57" max="57" width="12" customWidth="1"/>
    <col min="58" max="58" width="9.5" style="298" customWidth="1"/>
    <col min="59" max="59" width="12" style="298" customWidth="1"/>
    <col min="60" max="60" width="12" style="356" customWidth="1"/>
    <col min="61" max="61" width="10.83203125" style="298" customWidth="1"/>
    <col min="62" max="62" width="7.6640625" customWidth="1"/>
    <col min="63" max="63" width="9.5" style="10" customWidth="1"/>
    <col min="64" max="64" width="10.1640625" customWidth="1"/>
    <col min="65" max="65" width="8.83203125" customWidth="1"/>
    <col min="66" max="66" width="3.33203125" customWidth="1"/>
    <col min="67" max="67" width="11.1640625" customWidth="1"/>
    <col min="68" max="68" width="8.33203125" customWidth="1"/>
    <col min="69" max="69" width="3.33203125" customWidth="1"/>
    <col min="70" max="70" width="7.83203125" customWidth="1"/>
    <col min="71" max="71" width="13.1640625" customWidth="1"/>
    <col min="72" max="72" width="10" customWidth="1"/>
    <col min="73" max="73" width="3.33203125" customWidth="1"/>
    <col min="74" max="75" width="10" customWidth="1"/>
    <col min="76" max="77" width="11.83203125" customWidth="1"/>
    <col min="78" max="79" width="10.33203125" customWidth="1"/>
    <col min="80" max="80" width="12.33203125" customWidth="1"/>
    <col min="81" max="81" width="12.33203125" style="356" customWidth="1"/>
    <col min="82" max="83" width="10.5" customWidth="1"/>
    <col min="84" max="84" width="11.6640625" customWidth="1"/>
    <col min="85" max="85" width="12.83203125" customWidth="1"/>
    <col min="86" max="86" width="12.83203125" style="318" customWidth="1"/>
    <col min="87" max="88" width="10.83203125" customWidth="1"/>
    <col min="89" max="89" width="10.83203125" style="356" customWidth="1"/>
    <col min="90" max="90" width="6.5" customWidth="1"/>
    <col min="91" max="91" width="8.5" style="318" customWidth="1"/>
    <col min="92" max="92" width="12.83203125" customWidth="1"/>
    <col min="93" max="93" width="12.6640625" customWidth="1"/>
    <col min="94" max="94" width="8.33203125" customWidth="1"/>
    <col min="95" max="95" width="10.6640625" customWidth="1"/>
    <col min="96" max="96" width="10.6640625" style="356" customWidth="1"/>
    <col min="97" max="97" width="9.1640625"/>
    <col min="98" max="98" width="11.6640625" customWidth="1"/>
    <col min="99" max="99" width="11.6640625" style="318" customWidth="1"/>
    <col min="100" max="101" width="11" customWidth="1"/>
    <col min="102" max="102" width="12.33203125" customWidth="1"/>
    <col min="103" max="104" width="10" customWidth="1"/>
    <col min="105" max="107" width="12.83203125" customWidth="1"/>
    <col min="108" max="108" width="6.5" customWidth="1"/>
    <col min="109" max="109" width="10.6640625" customWidth="1"/>
    <col min="110" max="110" width="9.6640625" customWidth="1"/>
    <col min="111" max="111" width="11.33203125" customWidth="1"/>
    <col min="112" max="112" width="11.33203125" style="318" customWidth="1"/>
    <col min="113" max="113" width="11.33203125" customWidth="1"/>
    <col min="114" max="115" width="10.6640625" customWidth="1"/>
    <col min="116" max="120" width="12.6640625" customWidth="1"/>
    <col min="121" max="121" width="10" customWidth="1"/>
    <col min="122" max="122" width="10" style="356" customWidth="1"/>
    <col min="123" max="123" width="7.1640625" customWidth="1"/>
    <col min="124" max="124" width="7" customWidth="1"/>
    <col min="125" max="125" width="6.83203125" style="10" customWidth="1"/>
    <col min="126" max="126" width="8" style="10" customWidth="1"/>
    <col min="127" max="16384" width="9.33203125" style="10"/>
  </cols>
  <sheetData>
    <row r="1" spans="1:129" s="6" customFormat="1" ht="24">
      <c r="A1" s="258" t="s">
        <v>127</v>
      </c>
      <c r="B1" s="224"/>
      <c r="C1" s="16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/>
      <c r="T1" s="11"/>
      <c r="U1" s="11"/>
      <c r="V1" s="11"/>
      <c r="W1" s="11"/>
      <c r="X1" s="47"/>
      <c r="Y1" s="11"/>
      <c r="Z1" s="11"/>
      <c r="AA1" s="11"/>
      <c r="AB1" s="11"/>
      <c r="AC1" s="16"/>
      <c r="AD1" s="11"/>
      <c r="AE1" s="47"/>
      <c r="AF1" s="11"/>
      <c r="AG1" s="16"/>
      <c r="AH1" s="11"/>
      <c r="AI1" s="9"/>
      <c r="AJ1" s="37"/>
      <c r="AK1" s="11"/>
      <c r="AL1" s="9"/>
      <c r="AM1" s="9"/>
      <c r="AN1" s="87" t="s">
        <v>172</v>
      </c>
      <c r="AO1" s="86"/>
      <c r="AP1" s="86"/>
      <c r="AQ1" s="87" t="s">
        <v>173</v>
      </c>
      <c r="AR1" s="88" t="s">
        <v>174</v>
      </c>
      <c r="AS1" s="9"/>
      <c r="AT1" s="9"/>
      <c r="AU1" s="9"/>
      <c r="AV1" s="9"/>
      <c r="AW1" s="11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11"/>
      <c r="BK1" s="36"/>
      <c r="BL1" s="37"/>
      <c r="BM1" s="11"/>
      <c r="BN1" s="20"/>
      <c r="BO1" s="20"/>
      <c r="BP1" s="20"/>
      <c r="BQ1" s="1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 s="318"/>
      <c r="CG1"/>
      <c r="CH1"/>
      <c r="CI1"/>
      <c r="CJ1" s="318"/>
      <c r="CK1"/>
      <c r="CL1"/>
      <c r="CM1"/>
      <c r="CN1"/>
      <c r="CO1"/>
      <c r="CP1"/>
      <c r="CQ1" s="318"/>
      <c r="CR1"/>
      <c r="CS1"/>
      <c r="CT1"/>
      <c r="CU1"/>
      <c r="CV1"/>
      <c r="CW1"/>
      <c r="CX1"/>
      <c r="CY1"/>
      <c r="CZ1"/>
      <c r="DA1"/>
      <c r="DB1"/>
      <c r="DC1"/>
      <c r="DD1" s="318"/>
      <c r="DE1"/>
      <c r="DF1"/>
      <c r="DG1"/>
      <c r="DH1"/>
      <c r="DI1"/>
      <c r="DJ1"/>
      <c r="DK1"/>
      <c r="DL1"/>
      <c r="DM1"/>
      <c r="DN1"/>
      <c r="DO1"/>
    </row>
    <row r="2" spans="1:129" s="356" customFormat="1"/>
    <row r="3" spans="1:129" s="1" customFormat="1">
      <c r="A3" s="2"/>
      <c r="B3" s="2"/>
      <c r="C3" s="370" t="s">
        <v>0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2"/>
      <c r="Y3"/>
      <c r="Z3" s="373" t="s">
        <v>151</v>
      </c>
      <c r="AA3" s="375"/>
      <c r="AB3" s="375"/>
      <c r="AC3" s="375"/>
      <c r="AD3" s="375"/>
      <c r="AE3" s="374"/>
      <c r="AF3"/>
      <c r="AG3" s="370" t="s">
        <v>1</v>
      </c>
      <c r="AH3" s="371"/>
      <c r="AI3" s="371"/>
      <c r="AJ3" s="372"/>
      <c r="AK3"/>
      <c r="AL3" s="373" t="s">
        <v>150</v>
      </c>
      <c r="AM3" s="375"/>
      <c r="AN3" s="375"/>
      <c r="AO3" s="375"/>
      <c r="AP3" s="375"/>
      <c r="AQ3" s="375"/>
      <c r="AR3" s="375"/>
      <c r="AS3" s="375"/>
      <c r="AT3" s="375"/>
      <c r="AU3" s="375"/>
      <c r="AV3" s="374"/>
      <c r="AW3"/>
      <c r="AX3" s="373" t="s">
        <v>301</v>
      </c>
      <c r="AY3" s="374"/>
      <c r="AZ3"/>
      <c r="BA3" s="370" t="s">
        <v>2</v>
      </c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2"/>
      <c r="BN3"/>
      <c r="BO3" s="373" t="s">
        <v>3</v>
      </c>
      <c r="BP3" s="374"/>
      <c r="BQ3"/>
      <c r="BR3" s="373" t="s">
        <v>148</v>
      </c>
      <c r="BS3" s="375"/>
      <c r="BT3" s="374"/>
      <c r="BU3"/>
      <c r="BV3" s="373" t="s">
        <v>4</v>
      </c>
      <c r="BW3" s="375"/>
      <c r="BX3" s="375"/>
      <c r="BY3" s="375"/>
      <c r="BZ3" s="375"/>
      <c r="CA3" s="375"/>
      <c r="CB3" s="375"/>
      <c r="CC3" s="375"/>
      <c r="CD3" s="375"/>
      <c r="CE3" s="375"/>
      <c r="CF3" s="375"/>
      <c r="CG3" s="375"/>
      <c r="CH3" s="375"/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5"/>
      <c r="DL3" s="375"/>
      <c r="DM3" s="375"/>
      <c r="DN3" s="375"/>
      <c r="DO3" s="375"/>
      <c r="DP3" s="375"/>
      <c r="DQ3" s="375"/>
      <c r="DR3" s="375"/>
      <c r="DS3" s="375"/>
      <c r="DT3" s="375"/>
      <c r="DU3" s="375"/>
      <c r="DV3" s="374"/>
      <c r="DW3"/>
      <c r="DX3"/>
      <c r="DY3"/>
    </row>
    <row r="4" spans="1:129" s="106" customFormat="1" ht="90.75" thickBot="1">
      <c r="A4" s="204" t="s">
        <v>5</v>
      </c>
      <c r="C4" s="199" t="s">
        <v>263</v>
      </c>
      <c r="D4" s="200" t="s">
        <v>264</v>
      </c>
      <c r="E4" s="200" t="s">
        <v>265</v>
      </c>
      <c r="F4" s="200" t="s">
        <v>266</v>
      </c>
      <c r="G4" s="200" t="s">
        <v>267</v>
      </c>
      <c r="H4" s="200" t="s">
        <v>268</v>
      </c>
      <c r="I4" s="200" t="s">
        <v>272</v>
      </c>
      <c r="J4" s="200" t="s">
        <v>269</v>
      </c>
      <c r="K4" s="200" t="s">
        <v>273</v>
      </c>
      <c r="L4" s="200" t="s">
        <v>271</v>
      </c>
      <c r="M4" s="201" t="s">
        <v>261</v>
      </c>
      <c r="N4" s="201" t="s">
        <v>262</v>
      </c>
      <c r="O4" s="200" t="s">
        <v>270</v>
      </c>
      <c r="P4" s="200" t="s">
        <v>6</v>
      </c>
      <c r="Q4" s="200" t="s">
        <v>7</v>
      </c>
      <c r="R4" s="200" t="s">
        <v>8</v>
      </c>
      <c r="S4" s="217" t="s">
        <v>9</v>
      </c>
      <c r="T4" s="200" t="s">
        <v>10</v>
      </c>
      <c r="U4" s="200" t="s">
        <v>189</v>
      </c>
      <c r="V4" s="312" t="s">
        <v>279</v>
      </c>
      <c r="W4" s="200" t="s">
        <v>11</v>
      </c>
      <c r="X4" s="202" t="s">
        <v>12</v>
      </c>
      <c r="Y4" s="118"/>
      <c r="Z4" s="203" t="s">
        <v>290</v>
      </c>
      <c r="AA4" s="271" t="s">
        <v>146</v>
      </c>
      <c r="AB4" s="204"/>
      <c r="AC4" s="203" t="s">
        <v>171</v>
      </c>
      <c r="AD4" s="204" t="s">
        <v>145</v>
      </c>
      <c r="AE4" s="218" t="s">
        <v>147</v>
      </c>
      <c r="AF4" s="118"/>
      <c r="AG4" s="203" t="s">
        <v>13</v>
      </c>
      <c r="AH4" s="204" t="s">
        <v>14</v>
      </c>
      <c r="AI4" s="204" t="s">
        <v>15</v>
      </c>
      <c r="AJ4" s="205" t="s">
        <v>16</v>
      </c>
      <c r="AK4" s="118"/>
      <c r="AL4" s="203" t="s">
        <v>204</v>
      </c>
      <c r="AM4" s="204" t="s">
        <v>159</v>
      </c>
      <c r="AN4" s="218" t="s">
        <v>17</v>
      </c>
      <c r="AO4" s="204" t="s">
        <v>160</v>
      </c>
      <c r="AP4" s="204" t="s">
        <v>161</v>
      </c>
      <c r="AQ4" s="218" t="s">
        <v>18</v>
      </c>
      <c r="AR4" s="204" t="s">
        <v>149</v>
      </c>
      <c r="AS4" s="204" t="s">
        <v>162</v>
      </c>
      <c r="AT4" s="204" t="s">
        <v>163</v>
      </c>
      <c r="AU4" s="204" t="s">
        <v>164</v>
      </c>
      <c r="AV4" s="205" t="s">
        <v>158</v>
      </c>
      <c r="AW4"/>
      <c r="AX4" s="328" t="s">
        <v>299</v>
      </c>
      <c r="AY4" s="205" t="s">
        <v>300</v>
      </c>
      <c r="AZ4" s="118"/>
      <c r="BA4" s="203" t="s">
        <v>19</v>
      </c>
      <c r="BB4" s="204" t="s">
        <v>20</v>
      </c>
      <c r="BC4" s="204" t="s">
        <v>21</v>
      </c>
      <c r="BD4" s="204" t="s">
        <v>296</v>
      </c>
      <c r="BE4" s="204" t="s">
        <v>199</v>
      </c>
      <c r="BF4" s="204" t="s">
        <v>22</v>
      </c>
      <c r="BG4" s="204" t="s">
        <v>23</v>
      </c>
      <c r="BH4" s="349" t="s">
        <v>308</v>
      </c>
      <c r="BI4" s="204" t="s">
        <v>24</v>
      </c>
      <c r="BJ4" s="299" t="s">
        <v>288</v>
      </c>
      <c r="BK4" s="204" t="s">
        <v>286</v>
      </c>
      <c r="BL4" s="301" t="s">
        <v>287</v>
      </c>
      <c r="BM4" s="205" t="s">
        <v>25</v>
      </c>
      <c r="BN4" s="118"/>
      <c r="BO4" s="203" t="s">
        <v>26</v>
      </c>
      <c r="BP4" s="205" t="s">
        <v>27</v>
      </c>
      <c r="BQ4" s="118"/>
      <c r="BR4" s="203" t="s">
        <v>28</v>
      </c>
      <c r="BS4" s="204" t="s">
        <v>29</v>
      </c>
      <c r="BT4" s="205" t="s">
        <v>30</v>
      </c>
      <c r="BU4" s="118"/>
      <c r="BV4" s="203" t="s">
        <v>31</v>
      </c>
      <c r="BW4" s="204" t="s">
        <v>190</v>
      </c>
      <c r="BX4" s="204" t="s">
        <v>187</v>
      </c>
      <c r="BY4" s="204" t="s">
        <v>223</v>
      </c>
      <c r="BZ4" s="204" t="s">
        <v>233</v>
      </c>
      <c r="CA4" s="204" t="s">
        <v>230</v>
      </c>
      <c r="CB4" s="204" t="s">
        <v>247</v>
      </c>
      <c r="CC4" s="204" t="s">
        <v>306</v>
      </c>
      <c r="CD4" s="204" t="s">
        <v>32</v>
      </c>
      <c r="CE4" s="204" t="s">
        <v>213</v>
      </c>
      <c r="CF4" s="204" t="s">
        <v>33</v>
      </c>
      <c r="CG4" s="204" t="s">
        <v>34</v>
      </c>
      <c r="CH4" s="204" t="s">
        <v>234</v>
      </c>
      <c r="CI4" s="204" t="s">
        <v>35</v>
      </c>
      <c r="CJ4" s="204" t="s">
        <v>36</v>
      </c>
      <c r="CK4" s="204" t="s">
        <v>298</v>
      </c>
      <c r="CL4" s="204" t="s">
        <v>278</v>
      </c>
      <c r="CM4" s="204" t="s">
        <v>37</v>
      </c>
      <c r="CN4" s="204" t="s">
        <v>226</v>
      </c>
      <c r="CO4" s="204" t="s">
        <v>38</v>
      </c>
      <c r="CP4" s="204" t="s">
        <v>295</v>
      </c>
      <c r="CQ4" s="204" t="s">
        <v>231</v>
      </c>
      <c r="CR4" s="204" t="s">
        <v>307</v>
      </c>
      <c r="CS4" s="204" t="s">
        <v>39</v>
      </c>
      <c r="CT4" s="204" t="s">
        <v>40</v>
      </c>
      <c r="CU4" s="204" t="s">
        <v>41</v>
      </c>
      <c r="CV4" s="204" t="s">
        <v>42</v>
      </c>
      <c r="CW4" s="204" t="s">
        <v>248</v>
      </c>
      <c r="CX4" s="204" t="s">
        <v>252</v>
      </c>
      <c r="CY4" s="204" t="s">
        <v>188</v>
      </c>
      <c r="CZ4" s="204" t="s">
        <v>229</v>
      </c>
      <c r="DA4" s="204" t="s">
        <v>225</v>
      </c>
      <c r="DB4" s="204" t="s">
        <v>43</v>
      </c>
      <c r="DC4" s="204" t="s">
        <v>227</v>
      </c>
      <c r="DD4" s="204" t="s">
        <v>232</v>
      </c>
      <c r="DE4" s="204" t="s">
        <v>224</v>
      </c>
      <c r="DF4" s="204" t="s">
        <v>228</v>
      </c>
      <c r="DG4" s="204" t="s">
        <v>44</v>
      </c>
      <c r="DH4" s="204" t="s">
        <v>45</v>
      </c>
      <c r="DI4" s="204" t="s">
        <v>46</v>
      </c>
      <c r="DJ4" s="204" t="s">
        <v>185</v>
      </c>
      <c r="DK4" s="204" t="s">
        <v>277</v>
      </c>
      <c r="DL4" s="204" t="s">
        <v>236</v>
      </c>
      <c r="DM4" s="204" t="s">
        <v>47</v>
      </c>
      <c r="DN4" s="204" t="s">
        <v>219</v>
      </c>
      <c r="DO4" s="204" t="s">
        <v>48</v>
      </c>
      <c r="DP4" s="204" t="s">
        <v>249</v>
      </c>
      <c r="DQ4" s="204" t="s">
        <v>235</v>
      </c>
      <c r="DR4" s="204" t="s">
        <v>297</v>
      </c>
      <c r="DS4" s="204" t="s">
        <v>186</v>
      </c>
      <c r="DT4" s="204" t="s">
        <v>200</v>
      </c>
      <c r="DU4" s="204" t="s">
        <v>191</v>
      </c>
      <c r="DV4" s="205" t="s">
        <v>49</v>
      </c>
      <c r="DW4" s="106" t="s">
        <v>50</v>
      </c>
      <c r="DX4" s="118"/>
    </row>
    <row r="5" spans="1:129" s="111" customFormat="1">
      <c r="A5" s="119">
        <v>1988</v>
      </c>
      <c r="B5" s="189"/>
      <c r="C5" s="107">
        <f>DSUM(_xlnm.Database,FILESTAT!C$3,bfy1988_)</f>
        <v>178</v>
      </c>
      <c r="D5" s="108">
        <f>DSUM(_xlnm.Database,FILESTAT!D$3,bfy1988_)</f>
        <v>313</v>
      </c>
      <c r="E5" s="108">
        <f>DSUM(_xlnm.Database,FILESTAT!E$3,bfy1988_)</f>
        <v>33</v>
      </c>
      <c r="F5" s="108">
        <f>DSUM(_xlnm.Database,FILESTAT!F$3,bfy1988_)</f>
        <v>41</v>
      </c>
      <c r="G5" s="108">
        <f>DSUM(_xlnm.Database,FILESTAT!G$3,bfy1988_)</f>
        <v>24</v>
      </c>
      <c r="H5" s="108">
        <f>DSUM(_xlnm.Database,FILESTAT!H$3,bfy1988_)</f>
        <v>56</v>
      </c>
      <c r="I5" s="108">
        <f>DSUM(_xlnm.Database,FILESTAT!I$3,bfy1988_)</f>
        <v>0</v>
      </c>
      <c r="J5" s="108">
        <f>DSUM(_xlnm.Database,FILESTAT!J$3,bfy1988_)</f>
        <v>0</v>
      </c>
      <c r="K5" s="108">
        <f>DSUM(_xlnm.Database,FILESTAT!K$3,bfy1988_)</f>
        <v>0</v>
      </c>
      <c r="L5" s="108">
        <f>DSUM(_xlnm.Database,FILESTAT!L$3,bfy1988_)</f>
        <v>0</v>
      </c>
      <c r="M5" s="108">
        <f>DSUM(_xlnm.Database,FILESTAT!M$3,bfy1988_)</f>
        <v>0</v>
      </c>
      <c r="N5" s="108">
        <f>DSUM(_xlnm.Database,FILESTAT!N$3,bfy1988_)</f>
        <v>0</v>
      </c>
      <c r="O5" s="108">
        <f>DSUM(_xlnm.Database,FILESTAT!O$3,bfy1988_)</f>
        <v>70</v>
      </c>
      <c r="P5" s="108">
        <f>DSUM(_xlnm.Database,FILESTAT!P$3,bfy1988_)</f>
        <v>0</v>
      </c>
      <c r="Q5" s="108">
        <f>DSUM(_xlnm.Database,FILESTAT!Q$3,bfy1988_)</f>
        <v>0</v>
      </c>
      <c r="R5" s="109">
        <f>DSUM(_xlnm.Database,FILESTAT!R$3,bfy1988_)</f>
        <v>1</v>
      </c>
      <c r="S5" s="120">
        <f>IF(SUM(C5:R5)=FILESTAT!S28,SUM(C5:R5),"PROBLEM")</f>
        <v>716</v>
      </c>
      <c r="T5" s="107">
        <f>DSUM(_xlnm.Database,FILESTAT!T$3,bfy1988_)</f>
        <v>0</v>
      </c>
      <c r="U5" s="107">
        <f>DSUM(_xlnm.Database,FILESTAT!U$3,bfy1988_)</f>
        <v>0</v>
      </c>
      <c r="V5" s="111">
        <f>DSUM(_xlnm.Database,FILESTAT!V$3,bfy1988_)</f>
        <v>0</v>
      </c>
      <c r="W5" s="108">
        <f>DSUM(_xlnm.Database,FILESTAT!W$3,bfy1988_)</f>
        <v>0</v>
      </c>
      <c r="X5" s="109">
        <f>DSUM(_xlnm.Database,FILESTAT!X$3,bfy1988_)</f>
        <v>0</v>
      </c>
      <c r="Z5" s="107"/>
      <c r="AB5" s="108"/>
      <c r="AC5" s="107"/>
      <c r="AD5" s="108"/>
      <c r="AE5" s="120"/>
      <c r="AG5" s="110">
        <f>DSUM(_xlnm.Database,FILESTAT!AG$3,bfy1988_)</f>
        <v>815</v>
      </c>
      <c r="AH5" s="111">
        <f>DSUM(_xlnm.Database,FILESTAT!AH$3,bfy1988_)</f>
        <v>226</v>
      </c>
      <c r="AI5" s="108">
        <f>DSUM(_xlnm.Database,FILESTAT!AI$3,bfy1988_)</f>
        <v>3248</v>
      </c>
      <c r="AJ5" s="109">
        <f>DSUM(_xlnm.Database,FILESTAT!AJ$3,bfy1988_)</f>
        <v>388</v>
      </c>
      <c r="AL5" s="121"/>
      <c r="AM5" s="122"/>
      <c r="AN5" s="120"/>
      <c r="AO5" s="122"/>
      <c r="AP5" s="122"/>
      <c r="AQ5" s="120"/>
      <c r="AR5" s="122"/>
      <c r="AS5" s="122"/>
      <c r="AT5" s="122"/>
      <c r="AU5" s="122"/>
      <c r="AV5" s="123"/>
      <c r="AW5"/>
      <c r="AX5" s="356"/>
      <c r="AY5"/>
      <c r="BA5" s="124">
        <f>ROUND(DAVERAGE(_xlnm.Database,FILESTAT!BA$3,bfy1988_),0)</f>
        <v>1446</v>
      </c>
      <c r="BB5" s="125"/>
      <c r="BC5" s="125"/>
      <c r="BD5" s="125"/>
      <c r="BE5" s="108"/>
      <c r="BF5" s="108"/>
      <c r="BG5" s="108"/>
      <c r="BI5" s="122"/>
      <c r="BJ5" s="122"/>
      <c r="BK5" s="122"/>
      <c r="BL5" s="122"/>
      <c r="BM5" s="109">
        <f>DSUM(_xlnm.Database,FILESTAT!BM$3,bfy1988_)</f>
        <v>3613</v>
      </c>
      <c r="BO5" s="121"/>
      <c r="BP5" s="123"/>
      <c r="BR5" s="236"/>
      <c r="BS5" s="126"/>
      <c r="BT5" s="237"/>
      <c r="BV5" s="107">
        <f>DSUM(_xlnm.Database,FILESTAT!BV$3,bfy1988_)</f>
        <v>0</v>
      </c>
      <c r="BW5" s="108">
        <f>DSUM(_xlnm.Database,FILESTAT!BW$3,bfy1988_)</f>
        <v>0</v>
      </c>
      <c r="BX5" s="108">
        <f>DSUM(_xlnm.Database,FILESTAT!BX$3,bfy1988_)</f>
        <v>0</v>
      </c>
      <c r="BY5" s="108">
        <f>DSUM(_xlnm.Database,FILESTAT!BY$3,bfy1988_)</f>
        <v>0</v>
      </c>
      <c r="BZ5" s="108">
        <f>DSUM(_xlnm.Database,FILESTAT!BZ$3,bfy1988_)</f>
        <v>0</v>
      </c>
      <c r="CA5" s="108">
        <f>DSUM(_xlnm.Database,FILESTAT!CA$3,bfy1988_)</f>
        <v>0</v>
      </c>
      <c r="CB5" s="108">
        <f>DSUM(_xlnm.Database,FILESTAT!CB$3,bfy1988_)</f>
        <v>0</v>
      </c>
      <c r="CC5" s="322">
        <f>DSUM(_xlnm.Database,FILESTAT!CC$3,bfy1988_)</f>
        <v>0</v>
      </c>
      <c r="CD5" s="108">
        <f>DSUM(_xlnm.Database,FILESTAT!CD$3,bfy1988_)</f>
        <v>0</v>
      </c>
      <c r="CE5" s="322">
        <f>DSUM(_xlnm.Database,FILESTAT!CE$3,bfy1988_)</f>
        <v>0</v>
      </c>
      <c r="CF5" s="108">
        <f>DSUM(_xlnm.Database,FILESTAT!CF$3,bfy1988_)</f>
        <v>0</v>
      </c>
      <c r="CG5" s="108">
        <f>DSUM(_xlnm.Database,FILESTAT!CG$3,bfy1988_)</f>
        <v>0</v>
      </c>
      <c r="CH5" s="108">
        <f>DSUM(_xlnm.Database,FILESTAT!CH$3,bfy1988_)</f>
        <v>0</v>
      </c>
      <c r="CI5" s="108">
        <f>DSUM(_xlnm.Database,FILESTAT!CI$3,bfy1988_)</f>
        <v>0</v>
      </c>
      <c r="CJ5" s="108">
        <f>DSUM(_xlnm.Database,FILESTAT!CJ$3,bfy1988_)</f>
        <v>0</v>
      </c>
      <c r="CK5" s="322">
        <f>DSUM(_xlnm.Database,FILESTAT!CK$3,bfy1988_)</f>
        <v>0</v>
      </c>
      <c r="CL5" s="108">
        <f>DSUM(_xlnm.Database,FILESTAT!CL$3,bfy1988_)</f>
        <v>0</v>
      </c>
      <c r="CM5" s="108">
        <f>DSUM(_xlnm.Database,FILESTAT!CM$3,bfy1988_)</f>
        <v>0</v>
      </c>
      <c r="CN5" s="108">
        <f>DSUM(_xlnm.Database,FILESTAT!CN$3,bfy1988_)</f>
        <v>0</v>
      </c>
      <c r="CO5" s="108">
        <f>DSUM(_xlnm.Database,FILESTAT!CO$3,bfy1988_)</f>
        <v>0</v>
      </c>
      <c r="CP5" s="322">
        <f>DSUM(_xlnm.Database,FILESTAT!CP$3,bfy1988_)</f>
        <v>0</v>
      </c>
      <c r="CQ5" s="108">
        <f>DSUM(_xlnm.Database,FILESTAT!CQ$3,bfy1988_)</f>
        <v>0</v>
      </c>
      <c r="CR5" s="108">
        <f>DSUM(_xlnm.Database,FILESTAT!CR$3,bfy1988_)</f>
        <v>0</v>
      </c>
      <c r="CS5" s="108">
        <f>DSUM(_xlnm.Database,FILESTAT!CS$3,bfy1988_)</f>
        <v>0</v>
      </c>
      <c r="CT5" s="108">
        <f>DSUM(_xlnm.Database,FILESTAT!CT$3,bfy1988_)</f>
        <v>0</v>
      </c>
      <c r="CU5" s="108">
        <f>DSUM(_xlnm.Database,FILESTAT!CU$3,bfy1988_)</f>
        <v>0</v>
      </c>
      <c r="CV5" s="108">
        <f>DSUM(_xlnm.Database,FILESTAT!CV$3,bfy1988_)</f>
        <v>0</v>
      </c>
      <c r="CW5" s="108">
        <f>DSUM(_xlnm.Database,FILESTAT!CW$3,bfy1988_)</f>
        <v>0</v>
      </c>
      <c r="CX5" s="108">
        <f>DSUM(_xlnm.Database,FILESTAT!CX$3,bfy1988_)</f>
        <v>0</v>
      </c>
      <c r="CY5" s="108">
        <f>DSUM(_xlnm.Database,FILESTAT!CY$3,bfy1988_)</f>
        <v>0</v>
      </c>
      <c r="CZ5" s="108">
        <f>DSUM(_xlnm.Database,FILESTAT!CZ$3,bfy1988_)</f>
        <v>0</v>
      </c>
      <c r="DA5" s="108">
        <f>DSUM(_xlnm.Database,FILESTAT!DA$3,bfy1988_)</f>
        <v>0</v>
      </c>
      <c r="DB5" s="108">
        <f>DSUM(_xlnm.Database,FILESTAT!DB$3,bfy1988_)</f>
        <v>0</v>
      </c>
      <c r="DC5" s="108">
        <f>DSUM(_xlnm.Database,FILESTAT!DC$3,bfy1988_)</f>
        <v>0</v>
      </c>
      <c r="DD5" s="108">
        <f>DSUM(_xlnm.Database,FILESTAT!DD$3,bfy1988_)</f>
        <v>0</v>
      </c>
      <c r="DE5" s="108">
        <f>DSUM(_xlnm.Database,FILESTAT!DE$3,bfy1988_)</f>
        <v>0</v>
      </c>
      <c r="DF5" s="108">
        <f>DSUM(_xlnm.Database,FILESTAT!DF$3,bfy1988_)</f>
        <v>0</v>
      </c>
      <c r="DG5" s="108">
        <f>DSUM(_xlnm.Database,FILESTAT!DG$3,bfy1988_)</f>
        <v>0</v>
      </c>
      <c r="DH5" s="108">
        <f>DSUM(_xlnm.Database,FILESTAT!DH$3,bfy1988_)</f>
        <v>0</v>
      </c>
      <c r="DI5" s="108">
        <f>DSUM(_xlnm.Database,FILESTAT!DI$3,bfy1988_)</f>
        <v>0</v>
      </c>
      <c r="DJ5" s="108">
        <f>DSUM(_xlnm.Database,FILESTAT!DJ$3,bfy1988_)</f>
        <v>0</v>
      </c>
      <c r="DK5" s="108">
        <f>DSUM(_xlnm.Database,FILESTAT!DK$3,bfy1988_)</f>
        <v>0</v>
      </c>
      <c r="DL5" s="108">
        <f>DSUM(_xlnm.Database,FILESTAT!DL$3,bfy1988_)</f>
        <v>0</v>
      </c>
      <c r="DM5" s="108">
        <f>DSUM(_xlnm.Database,FILESTAT!DM$3,bfy1988_)</f>
        <v>0</v>
      </c>
      <c r="DN5" s="108">
        <f>DSUM(_xlnm.Database,FILESTAT!DN$3,bfy1988_)</f>
        <v>0</v>
      </c>
      <c r="DO5" s="108">
        <f>DSUM(_xlnm.Database,FILESTAT!DO$3,bfy1988_)</f>
        <v>0</v>
      </c>
      <c r="DP5" s="108">
        <f>DSUM(_xlnm.Database,FILESTAT!DP$3,bfy1988_)</f>
        <v>0</v>
      </c>
      <c r="DQ5" s="108">
        <f>DSUM(_xlnm.Database,FILESTAT!DQ$3,bfy1988_)</f>
        <v>0</v>
      </c>
      <c r="DR5" s="108"/>
      <c r="DS5" s="108">
        <f>DSUM(_xlnm.Database,FILESTAT!DS$3,bfy1988_)</f>
        <v>0</v>
      </c>
      <c r="DT5" s="108">
        <f>DSUM(_xlnm.Database,FILESTAT!DT$3,bfy1988_)</f>
        <v>0</v>
      </c>
      <c r="DU5" s="108">
        <f>DSUM(_xlnm.Database,FILESTAT!DU$3,bfy1988_)</f>
        <v>0</v>
      </c>
      <c r="DV5" s="127">
        <f t="shared" ref="DV5:DV19" si="0">SUM(BV5:DU5)</f>
        <v>0</v>
      </c>
      <c r="DW5" s="128"/>
    </row>
    <row r="6" spans="1:129" s="111" customFormat="1">
      <c r="A6" s="119">
        <v>1989</v>
      </c>
      <c r="B6" s="189"/>
      <c r="C6" s="110">
        <f>DSUM(_xlnm.Database,FILESTAT!C$3,bfy1989_)</f>
        <v>137</v>
      </c>
      <c r="D6" s="111">
        <f>DSUM(_xlnm.Database,FILESTAT!D$3,bfy1989_)</f>
        <v>375</v>
      </c>
      <c r="E6" s="111">
        <f>DSUM(_xlnm.Database,FILESTAT!E$3,bfy1989_)</f>
        <v>46</v>
      </c>
      <c r="F6" s="111">
        <f>DSUM(_xlnm.Database,FILESTAT!F$3,bfy1989_)</f>
        <v>26</v>
      </c>
      <c r="G6" s="111">
        <f>DSUM(_xlnm.Database,FILESTAT!G$3,bfy1989_)</f>
        <v>26</v>
      </c>
      <c r="H6" s="111">
        <f>DSUM(_xlnm.Database,FILESTAT!H$3,bfy1989_)</f>
        <v>42</v>
      </c>
      <c r="I6" s="111">
        <f>DSUM(_xlnm.Database,FILESTAT!I$3,bfy1989_)</f>
        <v>0</v>
      </c>
      <c r="J6" s="111">
        <f>DSUM(_xlnm.Database,FILESTAT!J$3,bfy1989_)</f>
        <v>0</v>
      </c>
      <c r="K6" s="111">
        <f>DSUM(_xlnm.Database,FILESTAT!K$3,bfy1989_)</f>
        <v>0</v>
      </c>
      <c r="L6" s="111">
        <f>DSUM(_xlnm.Database,FILESTAT!L$3,bfy1989_)</f>
        <v>0</v>
      </c>
      <c r="M6" s="111">
        <f>DSUM(_xlnm.Database,FILESTAT!M$3,bfy1989_)</f>
        <v>0</v>
      </c>
      <c r="N6" s="111">
        <f>DSUM(_xlnm.Database,FILESTAT!N$3,bfy1989_)</f>
        <v>0</v>
      </c>
      <c r="O6" s="111">
        <f>DSUM(_xlnm.Database,FILESTAT!O$3,bfy1989_)</f>
        <v>170</v>
      </c>
      <c r="P6" s="111">
        <f>DSUM(_xlnm.Database,FILESTAT!P$3,bfy1989_)</f>
        <v>0</v>
      </c>
      <c r="Q6" s="111">
        <f>DSUM(_xlnm.Database,FILESTAT!Q$3,bfy1989_)</f>
        <v>0</v>
      </c>
      <c r="R6" s="112">
        <f>DSUM(_xlnm.Database,FILESTAT!R$3,bfy1989_)</f>
        <v>2</v>
      </c>
      <c r="S6" s="120">
        <f>IF(SUM(C6:R6)=FILESTAT!S57,SUM(C6:R6),"PROBLEM")</f>
        <v>824</v>
      </c>
      <c r="T6" s="110">
        <f>DSUM(_xlnm.Database,FILESTAT!T$3,bfy1989_)</f>
        <v>0</v>
      </c>
      <c r="U6" s="110">
        <f>DSUM(_xlnm.Database,FILESTAT!U$3,bfy1989_)</f>
        <v>0</v>
      </c>
      <c r="V6" s="111">
        <f>DSUM(_xlnm.Database,FILESTAT!V$3,bfy1989_)</f>
        <v>0</v>
      </c>
      <c r="W6" s="111">
        <f>DSUM(_xlnm.Database,FILESTAT!W$3,bfy1989_)</f>
        <v>0</v>
      </c>
      <c r="X6" s="112">
        <f>DSUM(_xlnm.Database,FILESTAT!X$3,bfy1989_)</f>
        <v>0</v>
      </c>
      <c r="Z6" s="110"/>
      <c r="AC6" s="110"/>
      <c r="AE6" s="120"/>
      <c r="AG6" s="110">
        <f>DSUM(_xlnm.Database,FILESTAT!AG$3,bfy1989_)</f>
        <v>1987</v>
      </c>
      <c r="AH6" s="111">
        <f>DSUM(_xlnm.Database,FILESTAT!AH$3,bfy1989_)</f>
        <v>402</v>
      </c>
      <c r="AI6" s="111">
        <f>DSUM(_xlnm.Database,FILESTAT!AI$3,bfy1989_)</f>
        <v>3348</v>
      </c>
      <c r="AJ6" s="112">
        <f>DSUM(_xlnm.Database,FILESTAT!AJ$3,bfy1989_)</f>
        <v>422</v>
      </c>
      <c r="AL6" s="121"/>
      <c r="AM6" s="122"/>
      <c r="AN6" s="120"/>
      <c r="AO6" s="122"/>
      <c r="AP6" s="122"/>
      <c r="AQ6" s="120"/>
      <c r="AR6" s="122"/>
      <c r="AS6" s="122"/>
      <c r="AT6" s="122"/>
      <c r="AU6" s="122"/>
      <c r="AV6" s="123"/>
      <c r="AW6"/>
      <c r="AX6" s="356"/>
      <c r="AY6"/>
      <c r="BA6" s="121"/>
      <c r="BB6" s="122"/>
      <c r="BC6" s="122"/>
      <c r="BD6" s="122"/>
      <c r="BI6" s="122"/>
      <c r="BJ6" s="122"/>
      <c r="BK6" s="122"/>
      <c r="BL6" s="122"/>
      <c r="BM6" s="112">
        <f>DSUM(_xlnm.Database,FILESTAT!BM$3,bfy1989_)</f>
        <v>3942</v>
      </c>
      <c r="BO6" s="121"/>
      <c r="BP6" s="123"/>
      <c r="BR6" s="236"/>
      <c r="BS6" s="126"/>
      <c r="BT6" s="237"/>
      <c r="BV6" s="110">
        <f>DSUM(_xlnm.Database,FILESTAT!BV$3,bfy1989_)</f>
        <v>0</v>
      </c>
      <c r="BW6" s="111">
        <f>DSUM(_xlnm.Database,FILESTAT!BW$3,bfy1989_)</f>
        <v>0</v>
      </c>
      <c r="BX6" s="111">
        <f>DSUM(_xlnm.Database,FILESTAT!BX$3,bfy1989_)</f>
        <v>0</v>
      </c>
      <c r="BY6" s="111">
        <f>DSUM(_xlnm.Database,FILESTAT!BY$3,bfy1989_)</f>
        <v>0</v>
      </c>
      <c r="BZ6" s="111">
        <f>DSUM(_xlnm.Database,FILESTAT!BZ$3,bfy1989_)</f>
        <v>0</v>
      </c>
      <c r="CA6" s="111">
        <f>DSUM(_xlnm.Database,FILESTAT!CA$3,bfy1989_)</f>
        <v>0</v>
      </c>
      <c r="CB6" s="111">
        <f>DSUM(_xlnm.Database,FILESTAT!CB$3,bfy1989_)</f>
        <v>0</v>
      </c>
      <c r="CC6" s="289">
        <f>DSUM(_xlnm.Database,FILESTAT!CC$3,bfy1989_)</f>
        <v>0</v>
      </c>
      <c r="CD6" s="111">
        <f>DSUM(_xlnm.Database,FILESTAT!CD$3,bfy1989_)</f>
        <v>0</v>
      </c>
      <c r="CE6" s="289">
        <f>DSUM(_xlnm.Database,FILESTAT!CE$3,bfy1989_)</f>
        <v>0</v>
      </c>
      <c r="CF6" s="111">
        <f>DSUM(_xlnm.Database,FILESTAT!CF$3,bfy1989_)</f>
        <v>0</v>
      </c>
      <c r="CG6" s="111">
        <f>DSUM(_xlnm.Database,FILESTAT!CG$3,bfy1989_)</f>
        <v>0</v>
      </c>
      <c r="CH6" s="111">
        <f>DSUM(_xlnm.Database,FILESTAT!CH$3,bfy1989_)</f>
        <v>0</v>
      </c>
      <c r="CI6" s="111">
        <f>DSUM(_xlnm.Database,FILESTAT!CI$3,bfy1989_)</f>
        <v>0</v>
      </c>
      <c r="CJ6" s="111">
        <f>DSUM(_xlnm.Database,FILESTAT!CJ$3,bfy1989_)</f>
        <v>0</v>
      </c>
      <c r="CK6" s="289">
        <f>DSUM(_xlnm.Database,FILESTAT!CK$3,bfy1989_)</f>
        <v>0</v>
      </c>
      <c r="CL6" s="111">
        <f>DSUM(_xlnm.Database,FILESTAT!CL$3,bfy1989_)</f>
        <v>0</v>
      </c>
      <c r="CM6" s="111">
        <f>DSUM(_xlnm.Database,FILESTAT!CM$3,bfy1989_)</f>
        <v>0</v>
      </c>
      <c r="CN6" s="111">
        <f>DSUM(_xlnm.Database,FILESTAT!CN$3,bfy1989_)</f>
        <v>0</v>
      </c>
      <c r="CO6" s="111">
        <f>DSUM(_xlnm.Database,FILESTAT!CO$3,bfy1989_)</f>
        <v>0</v>
      </c>
      <c r="CP6" s="289">
        <f>DSUM(_xlnm.Database,FILESTAT!CP$3,bfy1989_)</f>
        <v>0</v>
      </c>
      <c r="CQ6" s="111">
        <f>DSUM(_xlnm.Database,FILESTAT!CQ$3,bfy1989_)</f>
        <v>0</v>
      </c>
      <c r="CR6" s="111">
        <f>DSUM(_xlnm.Database,FILESTAT!CR$3,bfy1989_)</f>
        <v>0</v>
      </c>
      <c r="CS6" s="111">
        <f>DSUM(_xlnm.Database,FILESTAT!CS$3,bfy1989_)</f>
        <v>0</v>
      </c>
      <c r="CT6" s="111">
        <f>DSUM(_xlnm.Database,FILESTAT!CT$3,bfy1989_)</f>
        <v>0</v>
      </c>
      <c r="CU6" s="111">
        <f>DSUM(_xlnm.Database,FILESTAT!CU$3,bfy1989_)</f>
        <v>0</v>
      </c>
      <c r="CV6" s="111">
        <f>DSUM(_xlnm.Database,FILESTAT!CV$3,bfy1989_)</f>
        <v>0</v>
      </c>
      <c r="CW6" s="111">
        <f>DSUM(_xlnm.Database,FILESTAT!CW$3,bfy1989_)</f>
        <v>0</v>
      </c>
      <c r="CX6" s="111">
        <f>DSUM(_xlnm.Database,FILESTAT!CX$3,bfy1989_)</f>
        <v>0</v>
      </c>
      <c r="CY6" s="111">
        <f>DSUM(_xlnm.Database,FILESTAT!CY$3,bfy1989_)</f>
        <v>0</v>
      </c>
      <c r="CZ6" s="111">
        <f>DSUM(_xlnm.Database,FILESTAT!CZ$3,bfy1989_)</f>
        <v>0</v>
      </c>
      <c r="DA6" s="111">
        <f>DSUM(_xlnm.Database,FILESTAT!DA$3,bfy1989_)</f>
        <v>0</v>
      </c>
      <c r="DB6" s="111">
        <f>DSUM(_xlnm.Database,FILESTAT!DB$3,bfy1989_)</f>
        <v>0</v>
      </c>
      <c r="DC6" s="111">
        <f>DSUM(_xlnm.Database,FILESTAT!DC$3,bfy1989_)</f>
        <v>0</v>
      </c>
      <c r="DD6" s="111">
        <f>DSUM(_xlnm.Database,FILESTAT!DD$3,bfy1989_)</f>
        <v>0</v>
      </c>
      <c r="DE6" s="111">
        <f>DSUM(_xlnm.Database,FILESTAT!DE$3,bfy1989_)</f>
        <v>0</v>
      </c>
      <c r="DF6" s="111">
        <f>DSUM(_xlnm.Database,FILESTAT!DF$3,bfy1989_)</f>
        <v>0</v>
      </c>
      <c r="DG6" s="111">
        <f>DSUM(_xlnm.Database,FILESTAT!DG$3,bfy1989_)</f>
        <v>0</v>
      </c>
      <c r="DH6" s="111">
        <f>DSUM(_xlnm.Database,FILESTAT!DH$3,bfy1989_)</f>
        <v>0</v>
      </c>
      <c r="DI6" s="111">
        <f>DSUM(_xlnm.Database,FILESTAT!DI$3,bfy1989_)</f>
        <v>0</v>
      </c>
      <c r="DJ6" s="111">
        <f>DSUM(_xlnm.Database,FILESTAT!DJ$3,bfy1989_)</f>
        <v>0</v>
      </c>
      <c r="DK6" s="111">
        <f>DSUM(_xlnm.Database,FILESTAT!DK$3,bfy1989_)</f>
        <v>0</v>
      </c>
      <c r="DL6" s="111">
        <f>DSUM(_xlnm.Database,FILESTAT!DL$3,bfy1989_)</f>
        <v>0</v>
      </c>
      <c r="DM6" s="111">
        <f>DSUM(_xlnm.Database,FILESTAT!DM$3,bfy1989_)</f>
        <v>0</v>
      </c>
      <c r="DN6" s="111">
        <f>DSUM(_xlnm.Database,FILESTAT!DN$3,bfy1989_)</f>
        <v>0</v>
      </c>
      <c r="DO6" s="111">
        <f>DSUM(_xlnm.Database,FILESTAT!DO$3,bfy1989_)</f>
        <v>0</v>
      </c>
      <c r="DP6" s="111">
        <f>DSUM(_xlnm.Database,FILESTAT!DP$3,bfy1989_)</f>
        <v>0</v>
      </c>
      <c r="DQ6" s="111">
        <f>DSUM(_xlnm.Database,FILESTAT!DQ$3,bfy1989_)</f>
        <v>0</v>
      </c>
      <c r="DS6" s="111">
        <f>DSUM(_xlnm.Database,FILESTAT!DS$3,bfy1989_)</f>
        <v>0</v>
      </c>
      <c r="DT6" s="111">
        <f>DSUM(_xlnm.Database,FILESTAT!DT$3,bfy1989_)</f>
        <v>0</v>
      </c>
      <c r="DU6" s="111">
        <f>DSUM(_xlnm.Database,FILESTAT!DU$3,bfy1989_)</f>
        <v>0</v>
      </c>
      <c r="DV6" s="127">
        <f t="shared" si="0"/>
        <v>0</v>
      </c>
      <c r="DW6" s="128"/>
    </row>
    <row r="7" spans="1:129" s="111" customFormat="1">
      <c r="A7" s="119">
        <v>1990</v>
      </c>
      <c r="B7" s="189"/>
      <c r="C7" s="110">
        <f>DSUM(_xlnm.Database,FILESTAT!C$3,bfy1990_)</f>
        <v>137</v>
      </c>
      <c r="D7" s="111">
        <f>DSUM(_xlnm.Database,FILESTAT!D$3,bfy1990_)</f>
        <v>394</v>
      </c>
      <c r="E7" s="111">
        <f>DSUM(_xlnm.Database,FILESTAT!E$3,bfy1990_)</f>
        <v>58</v>
      </c>
      <c r="F7" s="111">
        <f>DSUM(_xlnm.Database,FILESTAT!F$3,bfy1990_)</f>
        <v>9</v>
      </c>
      <c r="G7" s="111">
        <f>DSUM(_xlnm.Database,FILESTAT!G$3,bfy1990_)</f>
        <v>52</v>
      </c>
      <c r="H7" s="111">
        <f>DSUM(_xlnm.Database,FILESTAT!H$3,bfy1990_)</f>
        <v>40</v>
      </c>
      <c r="I7" s="111">
        <f>DSUM(_xlnm.Database,FILESTAT!I$3,bfy1990_)</f>
        <v>0</v>
      </c>
      <c r="J7" s="111">
        <f>DSUM(_xlnm.Database,FILESTAT!J$3,bfy1990_)</f>
        <v>0</v>
      </c>
      <c r="K7" s="111">
        <f>DSUM(_xlnm.Database,FILESTAT!K$3,bfy1990_)</f>
        <v>0</v>
      </c>
      <c r="L7" s="111">
        <f>DSUM(_xlnm.Database,FILESTAT!L$3,bfy1990_)</f>
        <v>0</v>
      </c>
      <c r="M7" s="111">
        <f>DSUM(_xlnm.Database,FILESTAT!M$3,bfy1990_)</f>
        <v>0</v>
      </c>
      <c r="N7" s="111">
        <f>DSUM(_xlnm.Database,FILESTAT!N$3,bfy1990_)</f>
        <v>0</v>
      </c>
      <c r="O7" s="111">
        <f>DSUM(_xlnm.Database,FILESTAT!O$3,bfy1990_)</f>
        <v>217</v>
      </c>
      <c r="P7" s="111">
        <f>DSUM(_xlnm.Database,FILESTAT!P$3,bfy1990_)</f>
        <v>0</v>
      </c>
      <c r="Q7" s="111">
        <f>DSUM(_xlnm.Database,FILESTAT!Q$3,bfy1990_)</f>
        <v>0</v>
      </c>
      <c r="R7" s="112">
        <f>DSUM(_xlnm.Database,FILESTAT!R$3,bfy1990_)</f>
        <v>2</v>
      </c>
      <c r="S7" s="120">
        <f>IF(SUM(C7:R7)=FILESTAT!S86,SUM(C7:R7),"PROBLEM")</f>
        <v>909</v>
      </c>
      <c r="T7" s="110">
        <f>DSUM(_xlnm.Database,FILESTAT!T$3,bfy1990_)</f>
        <v>0</v>
      </c>
      <c r="U7" s="110">
        <f>DSUM(_xlnm.Database,FILESTAT!U$3,bfy1990_)</f>
        <v>0</v>
      </c>
      <c r="V7" s="111">
        <f>DSUM(_xlnm.Database,FILESTAT!V$3,bfy1990_)</f>
        <v>0</v>
      </c>
      <c r="W7" s="111">
        <f>DSUM(_xlnm.Database,FILESTAT!W$3,bfy1990_)</f>
        <v>0</v>
      </c>
      <c r="X7" s="112">
        <f>DSUM(_xlnm.Database,FILESTAT!X$3,bfy1990_)</f>
        <v>0</v>
      </c>
      <c r="Z7" s="110"/>
      <c r="AC7" s="110"/>
      <c r="AE7" s="120"/>
      <c r="AG7" s="110">
        <f>DSUM(_xlnm.Database,FILESTAT!AG$3,bfy1990_)</f>
        <v>2095</v>
      </c>
      <c r="AH7" s="111">
        <f>DSUM(_xlnm.Database,FILESTAT!AH$3,bfy1990_)</f>
        <v>288</v>
      </c>
      <c r="AI7" s="111">
        <f>DSUM(_xlnm.Database,FILESTAT!AI$3,bfy1990_)</f>
        <v>3214</v>
      </c>
      <c r="AJ7" s="112">
        <f>DSUM(_xlnm.Database,FILESTAT!AJ$3,bfy1990_)</f>
        <v>432</v>
      </c>
      <c r="AL7" s="121"/>
      <c r="AM7" s="122"/>
      <c r="AN7" s="120"/>
      <c r="AO7" s="122"/>
      <c r="AP7" s="122"/>
      <c r="AQ7" s="120"/>
      <c r="AR7" s="122"/>
      <c r="AS7" s="122"/>
      <c r="AT7" s="122"/>
      <c r="AU7" s="122"/>
      <c r="AV7" s="123"/>
      <c r="AW7"/>
      <c r="AX7" s="356"/>
      <c r="AY7"/>
      <c r="BA7" s="121"/>
      <c r="BB7" s="122"/>
      <c r="BC7" s="122"/>
      <c r="BD7" s="122"/>
      <c r="BI7" s="122"/>
      <c r="BJ7" s="122"/>
      <c r="BK7" s="122"/>
      <c r="BL7" s="122"/>
      <c r="BM7" s="112">
        <f>DSUM(_xlnm.Database,FILESTAT!BM$3,bfy1990_)</f>
        <v>3564</v>
      </c>
      <c r="BO7" s="121"/>
      <c r="BP7" s="123"/>
      <c r="BR7" s="236"/>
      <c r="BS7" s="126"/>
      <c r="BT7" s="237"/>
      <c r="BV7" s="110">
        <f>DSUM(_xlnm.Database,FILESTAT!BV$3,bfy1990_)</f>
        <v>0</v>
      </c>
      <c r="BW7" s="111">
        <f>DSUM(_xlnm.Database,FILESTAT!BW$3,bfy1990_)</f>
        <v>0</v>
      </c>
      <c r="BX7" s="111">
        <f>DSUM(_xlnm.Database,FILESTAT!BX$3,bfy1990_)</f>
        <v>0</v>
      </c>
      <c r="BY7" s="111">
        <f>DSUM(_xlnm.Database,FILESTAT!BY$3,bfy1990_)</f>
        <v>0</v>
      </c>
      <c r="BZ7" s="111">
        <f>DSUM(_xlnm.Database,FILESTAT!BZ$3,bfy1990_)</f>
        <v>0</v>
      </c>
      <c r="CA7" s="111">
        <f>DSUM(_xlnm.Database,FILESTAT!CA$3,bfy1990_)</f>
        <v>0</v>
      </c>
      <c r="CB7" s="111">
        <f>DSUM(_xlnm.Database,FILESTAT!CB$3,bfy1990_)</f>
        <v>0</v>
      </c>
      <c r="CC7" s="289">
        <f>DSUM(_xlnm.Database,FILESTAT!CC$3,bfy1990_)</f>
        <v>0</v>
      </c>
      <c r="CD7" s="111">
        <f>DSUM(_xlnm.Database,FILESTAT!CD$3,bfy1990_)</f>
        <v>0</v>
      </c>
      <c r="CE7" s="289">
        <f>DSUM(_xlnm.Database,FILESTAT!CE$3,bfy1990_)</f>
        <v>0</v>
      </c>
      <c r="CF7" s="111">
        <f>DSUM(_xlnm.Database,FILESTAT!CF$3,bfy1990_)</f>
        <v>0</v>
      </c>
      <c r="CG7" s="111">
        <f>DSUM(_xlnm.Database,FILESTAT!CG$3,bfy1990_)</f>
        <v>0</v>
      </c>
      <c r="CH7" s="111">
        <f>DSUM(_xlnm.Database,FILESTAT!CH$3,bfy1990_)</f>
        <v>0</v>
      </c>
      <c r="CI7" s="111">
        <f>DSUM(_xlnm.Database,FILESTAT!CI$3,bfy1990_)</f>
        <v>0</v>
      </c>
      <c r="CJ7" s="111">
        <f>DSUM(_xlnm.Database,FILESTAT!CJ$3,bfy1990_)</f>
        <v>0</v>
      </c>
      <c r="CK7" s="289">
        <f>DSUM(_xlnm.Database,FILESTAT!CK$3,bfy1990_)</f>
        <v>0</v>
      </c>
      <c r="CL7" s="111">
        <f>DSUM(_xlnm.Database,FILESTAT!CL$3,bfy1990_)</f>
        <v>0</v>
      </c>
      <c r="CM7" s="111">
        <f>DSUM(_xlnm.Database,FILESTAT!CM$3,bfy1990_)</f>
        <v>0</v>
      </c>
      <c r="CN7" s="111">
        <f>DSUM(_xlnm.Database,FILESTAT!CN$3,bfy1990_)</f>
        <v>0</v>
      </c>
      <c r="CO7" s="111">
        <f>DSUM(_xlnm.Database,FILESTAT!CO$3,bfy1990_)</f>
        <v>0</v>
      </c>
      <c r="CP7" s="289">
        <f>DSUM(_xlnm.Database,FILESTAT!CP$3,bfy1990_)</f>
        <v>0</v>
      </c>
      <c r="CQ7" s="111">
        <f>DSUM(_xlnm.Database,FILESTAT!CQ$3,bfy1990_)</f>
        <v>0</v>
      </c>
      <c r="CR7" s="111">
        <f>DSUM(_xlnm.Database,FILESTAT!CR$3,bfy1990_)</f>
        <v>0</v>
      </c>
      <c r="CS7" s="111">
        <f>DSUM(_xlnm.Database,FILESTAT!CS$3,bfy1990_)</f>
        <v>0</v>
      </c>
      <c r="CT7" s="111">
        <f>DSUM(_xlnm.Database,FILESTAT!CT$3,bfy1990_)</f>
        <v>0</v>
      </c>
      <c r="CU7" s="111">
        <f>DSUM(_xlnm.Database,FILESTAT!CU$3,bfy1990_)</f>
        <v>0</v>
      </c>
      <c r="CV7" s="111">
        <f>DSUM(_xlnm.Database,FILESTAT!CV$3,bfy1990_)</f>
        <v>0</v>
      </c>
      <c r="CW7" s="111">
        <f>DSUM(_xlnm.Database,FILESTAT!CW$3,bfy1990_)</f>
        <v>0</v>
      </c>
      <c r="CX7" s="111">
        <f>DSUM(_xlnm.Database,FILESTAT!CX$3,bfy1990_)</f>
        <v>0</v>
      </c>
      <c r="CY7" s="111">
        <f>DSUM(_xlnm.Database,FILESTAT!CY$3,bfy1990_)</f>
        <v>0</v>
      </c>
      <c r="CZ7" s="111">
        <f>DSUM(_xlnm.Database,FILESTAT!CZ$3,bfy1990_)</f>
        <v>0</v>
      </c>
      <c r="DA7" s="111">
        <f>DSUM(_xlnm.Database,FILESTAT!DA$3,bfy1990_)</f>
        <v>0</v>
      </c>
      <c r="DB7" s="111">
        <f>DSUM(_xlnm.Database,FILESTAT!DB$3,bfy1990_)</f>
        <v>0</v>
      </c>
      <c r="DC7" s="111">
        <f>DSUM(_xlnm.Database,FILESTAT!DC$3,bfy1990_)</f>
        <v>0</v>
      </c>
      <c r="DD7" s="111">
        <f>DSUM(_xlnm.Database,FILESTAT!DD$3,bfy1990_)</f>
        <v>0</v>
      </c>
      <c r="DE7" s="111">
        <f>DSUM(_xlnm.Database,FILESTAT!DE$3,bfy1990_)</f>
        <v>0</v>
      </c>
      <c r="DF7" s="111">
        <f>DSUM(_xlnm.Database,FILESTAT!DF$3,bfy1990_)</f>
        <v>0</v>
      </c>
      <c r="DG7" s="111">
        <f>DSUM(_xlnm.Database,FILESTAT!DG$3,bfy1990_)</f>
        <v>0</v>
      </c>
      <c r="DH7" s="111">
        <f>DSUM(_xlnm.Database,FILESTAT!DH$3,bfy1990_)</f>
        <v>0</v>
      </c>
      <c r="DI7" s="111">
        <f>DSUM(_xlnm.Database,FILESTAT!DI$3,bfy1990_)</f>
        <v>0</v>
      </c>
      <c r="DJ7" s="111">
        <f>DSUM(_xlnm.Database,FILESTAT!DJ$3,bfy1990_)</f>
        <v>0</v>
      </c>
      <c r="DK7" s="111">
        <f>DSUM(_xlnm.Database,FILESTAT!DK$3,bfy1990_)</f>
        <v>0</v>
      </c>
      <c r="DL7" s="111">
        <f>DSUM(_xlnm.Database,FILESTAT!DL$3,bfy1990_)</f>
        <v>0</v>
      </c>
      <c r="DM7" s="111">
        <f>DSUM(_xlnm.Database,FILESTAT!DM$3,bfy1990_)</f>
        <v>0</v>
      </c>
      <c r="DN7" s="111">
        <f>DSUM(_xlnm.Database,FILESTAT!DN$3,bfy1990_)</f>
        <v>0</v>
      </c>
      <c r="DO7" s="111">
        <f>DSUM(_xlnm.Database,FILESTAT!DO$3,bfy1990_)</f>
        <v>0</v>
      </c>
      <c r="DP7" s="111">
        <f>DSUM(_xlnm.Database,FILESTAT!DP$3,bfy1990_)</f>
        <v>0</v>
      </c>
      <c r="DQ7" s="111">
        <f>DSUM(_xlnm.Database,FILESTAT!DQ$3,bfy1990_)</f>
        <v>0</v>
      </c>
      <c r="DS7" s="111">
        <f>DSUM(_xlnm.Database,FILESTAT!DS$3,bfy1990_)</f>
        <v>0</v>
      </c>
      <c r="DT7" s="111">
        <f>DSUM(_xlnm.Database,FILESTAT!DT$3,bfy1990_)</f>
        <v>0</v>
      </c>
      <c r="DU7" s="111">
        <f>DSUM(_xlnm.Database,FILESTAT!DU$3,bfy1990_)</f>
        <v>0</v>
      </c>
      <c r="DV7" s="127">
        <f t="shared" si="0"/>
        <v>0</v>
      </c>
      <c r="DW7" s="128"/>
    </row>
    <row r="8" spans="1:129" s="111" customFormat="1">
      <c r="A8" s="119">
        <v>1991</v>
      </c>
      <c r="B8" s="189"/>
      <c r="C8" s="110">
        <f>DSUM(_xlnm.Database,FILESTAT!C$3,bfy1991_)</f>
        <v>91</v>
      </c>
      <c r="D8" s="111">
        <f>DSUM(_xlnm.Database,FILESTAT!D$3,bfy1991_)</f>
        <v>380</v>
      </c>
      <c r="E8" s="111">
        <f>DSUM(_xlnm.Database,FILESTAT!E$3,bfy1991_)</f>
        <v>65</v>
      </c>
      <c r="F8" s="111">
        <f>DSUM(_xlnm.Database,FILESTAT!F$3,bfy1991_)</f>
        <v>6</v>
      </c>
      <c r="G8" s="111">
        <f>DSUM(_xlnm.Database,FILESTAT!G$3,bfy1991_)</f>
        <v>58</v>
      </c>
      <c r="H8" s="111">
        <f>DSUM(_xlnm.Database,FILESTAT!H$3,bfy1991_)</f>
        <v>44</v>
      </c>
      <c r="I8" s="111">
        <f>DSUM(_xlnm.Database,FILESTAT!I$3,bfy1991_)</f>
        <v>0</v>
      </c>
      <c r="J8" s="111">
        <f>DSUM(_xlnm.Database,FILESTAT!J$3,bfy1991_)</f>
        <v>0</v>
      </c>
      <c r="K8" s="111">
        <f>DSUM(_xlnm.Database,FILESTAT!K$3,bfy1991_)</f>
        <v>0</v>
      </c>
      <c r="L8" s="111">
        <f>DSUM(_xlnm.Database,FILESTAT!L$3,bfy1991_)</f>
        <v>0</v>
      </c>
      <c r="M8" s="111">
        <f>DSUM(_xlnm.Database,FILESTAT!M$3,bfy1991_)</f>
        <v>0</v>
      </c>
      <c r="N8" s="111">
        <f>DSUM(_xlnm.Database,FILESTAT!N$3,bfy1991_)</f>
        <v>0</v>
      </c>
      <c r="O8" s="111">
        <f>DSUM(_xlnm.Database,FILESTAT!O$3,bfy1991_)</f>
        <v>411</v>
      </c>
      <c r="P8" s="111">
        <f>DSUM(_xlnm.Database,FILESTAT!P$3,bfy1991_)</f>
        <v>0</v>
      </c>
      <c r="Q8" s="111">
        <f>DSUM(_xlnm.Database,FILESTAT!Q$3,bfy1991_)</f>
        <v>0</v>
      </c>
      <c r="R8" s="112">
        <f>DSUM(_xlnm.Database,FILESTAT!R$3,bfy1991_)</f>
        <v>1</v>
      </c>
      <c r="S8" s="120">
        <f>IF(SUM(C8:R8)=FILESTAT!S115,SUM(C8:R8),"PROBLEM")</f>
        <v>1056</v>
      </c>
      <c r="T8" s="110">
        <f>DSUM(_xlnm.Database,FILESTAT!T$3,bfy1991_)</f>
        <v>0</v>
      </c>
      <c r="U8" s="110">
        <f>DSUM(_xlnm.Database,FILESTAT!U$3,bfy1991_)</f>
        <v>0</v>
      </c>
      <c r="V8" s="111">
        <f>DSUM(_xlnm.Database,FILESTAT!V$3,bfy1991_)</f>
        <v>0</v>
      </c>
      <c r="W8" s="111">
        <f>DSUM(_xlnm.Database,FILESTAT!W$3,bfy1991_)</f>
        <v>0</v>
      </c>
      <c r="X8" s="112">
        <f>DSUM(_xlnm.Database,FILESTAT!X$3,bfy1991_)</f>
        <v>0</v>
      </c>
      <c r="Z8" s="110"/>
      <c r="AC8" s="110"/>
      <c r="AE8" s="120"/>
      <c r="AG8" s="110">
        <f>DSUM(_xlnm.Database,FILESTAT!AG$3,bfy1991_)</f>
        <v>1852</v>
      </c>
      <c r="AH8" s="111">
        <f>DSUM(_xlnm.Database,FILESTAT!AH$3,bfy1991_)</f>
        <v>233</v>
      </c>
      <c r="AI8" s="111">
        <f>DSUM(_xlnm.Database,FILESTAT!AI$3,bfy1991_)</f>
        <v>3136</v>
      </c>
      <c r="AJ8" s="112">
        <f>DSUM(_xlnm.Database,FILESTAT!AJ$3,bfy1991_)</f>
        <v>428</v>
      </c>
      <c r="AL8" s="121"/>
      <c r="AM8" s="122"/>
      <c r="AN8" s="120"/>
      <c r="AO8" s="122"/>
      <c r="AP8" s="122"/>
      <c r="AQ8" s="120"/>
      <c r="AR8" s="122"/>
      <c r="AS8" s="122"/>
      <c r="AT8" s="122"/>
      <c r="AU8" s="122"/>
      <c r="AV8" s="123"/>
      <c r="AW8"/>
      <c r="AX8" s="356"/>
      <c r="AY8"/>
      <c r="BA8" s="121">
        <f>ROUND(DAVERAGE(_xlnm.Database,FILESTAT!BA$3,bfy1991_),0)</f>
        <v>1558</v>
      </c>
      <c r="BB8" s="122"/>
      <c r="BC8" s="122">
        <f>DAVERAGE(_xlnm.Database,FILESTAT!BC$3,bfy1991_)</f>
        <v>19111936</v>
      </c>
      <c r="BD8" s="122"/>
      <c r="BI8" s="122"/>
      <c r="BJ8" s="122"/>
      <c r="BK8" s="122"/>
      <c r="BL8" s="122"/>
      <c r="BM8" s="112">
        <f>DSUM(_xlnm.Database,FILESTAT!BM$3,bfy1991_)</f>
        <v>3490</v>
      </c>
      <c r="BO8" s="121"/>
      <c r="BP8" s="123"/>
      <c r="BR8" s="236"/>
      <c r="BS8" s="126"/>
      <c r="BT8" s="237"/>
      <c r="BV8" s="110">
        <f>DSUM(_xlnm.Database,FILESTAT!BV$3,bfy1991_)</f>
        <v>0</v>
      </c>
      <c r="BW8" s="111">
        <f>DSUM(_xlnm.Database,FILESTAT!BW$3,bfy1991_)</f>
        <v>0</v>
      </c>
      <c r="BX8" s="111">
        <f>DSUM(_xlnm.Database,FILESTAT!BX$3,bfy1991_)</f>
        <v>0</v>
      </c>
      <c r="BY8" s="111">
        <f>DSUM(_xlnm.Database,FILESTAT!BY$3,bfy1991_)</f>
        <v>0</v>
      </c>
      <c r="BZ8" s="111">
        <f>DSUM(_xlnm.Database,FILESTAT!BZ$3,bfy1991_)</f>
        <v>0</v>
      </c>
      <c r="CA8" s="111">
        <f>DSUM(_xlnm.Database,FILESTAT!CA$3,bfy1991_)</f>
        <v>0</v>
      </c>
      <c r="CB8" s="111">
        <f>DSUM(_xlnm.Database,FILESTAT!CB$3,bfy1991_)</f>
        <v>0</v>
      </c>
      <c r="CC8" s="289">
        <f>DSUM(_xlnm.Database,FILESTAT!CC$3,bfy1991_)</f>
        <v>0</v>
      </c>
      <c r="CD8" s="111">
        <f>DSUM(_xlnm.Database,FILESTAT!CD$3,bfy1991_)</f>
        <v>0</v>
      </c>
      <c r="CE8" s="289">
        <f>DSUM(_xlnm.Database,FILESTAT!CE$3,bfy1991_)</f>
        <v>0</v>
      </c>
      <c r="CF8" s="111">
        <f>DSUM(_xlnm.Database,FILESTAT!CF$3,bfy1991_)</f>
        <v>0</v>
      </c>
      <c r="CG8" s="111">
        <f>DSUM(_xlnm.Database,FILESTAT!CG$3,bfy1991_)</f>
        <v>0</v>
      </c>
      <c r="CH8" s="111">
        <f>DSUM(_xlnm.Database,FILESTAT!CH$3,bfy1991_)</f>
        <v>0</v>
      </c>
      <c r="CI8" s="111">
        <f>DSUM(_xlnm.Database,FILESTAT!CI$3,bfy1991_)</f>
        <v>0</v>
      </c>
      <c r="CJ8" s="111">
        <f>DSUM(_xlnm.Database,FILESTAT!CJ$3,bfy1991_)</f>
        <v>0</v>
      </c>
      <c r="CK8" s="289">
        <f>DSUM(_xlnm.Database,FILESTAT!CK$3,bfy1991_)</f>
        <v>0</v>
      </c>
      <c r="CL8" s="111">
        <f>DSUM(_xlnm.Database,FILESTAT!CL$3,bfy1991_)</f>
        <v>0</v>
      </c>
      <c r="CM8" s="111">
        <f>DSUM(_xlnm.Database,FILESTAT!CM$3,bfy1991_)</f>
        <v>0</v>
      </c>
      <c r="CN8" s="111">
        <f>DSUM(_xlnm.Database,FILESTAT!CN$3,bfy1991_)</f>
        <v>0</v>
      </c>
      <c r="CO8" s="111">
        <f>DSUM(_xlnm.Database,FILESTAT!CO$3,bfy1991_)</f>
        <v>0</v>
      </c>
      <c r="CP8" s="289">
        <f>DSUM(_xlnm.Database,FILESTAT!CP$3,bfy1991_)</f>
        <v>0</v>
      </c>
      <c r="CQ8" s="111">
        <f>DSUM(_xlnm.Database,FILESTAT!CQ$3,bfy1991_)</f>
        <v>0</v>
      </c>
      <c r="CR8" s="111">
        <f>DSUM(_xlnm.Database,FILESTAT!CR$3,bfy1991_)</f>
        <v>0</v>
      </c>
      <c r="CS8" s="111">
        <f>DSUM(_xlnm.Database,FILESTAT!CS$3,bfy1991_)</f>
        <v>0</v>
      </c>
      <c r="CT8" s="111">
        <f>DSUM(_xlnm.Database,FILESTAT!CT$3,bfy1991_)</f>
        <v>0</v>
      </c>
      <c r="CU8" s="111">
        <f>DSUM(_xlnm.Database,FILESTAT!CU$3,bfy1991_)</f>
        <v>0</v>
      </c>
      <c r="CV8" s="111">
        <f>DSUM(_xlnm.Database,FILESTAT!CV$3,bfy1991_)</f>
        <v>0</v>
      </c>
      <c r="CW8" s="111">
        <f>DSUM(_xlnm.Database,FILESTAT!CW$3,bfy1991_)</f>
        <v>0</v>
      </c>
      <c r="CX8" s="111">
        <f>DSUM(_xlnm.Database,FILESTAT!CX$3,bfy1991_)</f>
        <v>0</v>
      </c>
      <c r="CY8" s="111">
        <f>DSUM(_xlnm.Database,FILESTAT!CY$3,bfy1991_)</f>
        <v>0</v>
      </c>
      <c r="CZ8" s="111">
        <f>DSUM(_xlnm.Database,FILESTAT!CZ$3,bfy1991_)</f>
        <v>0</v>
      </c>
      <c r="DA8" s="111">
        <f>DSUM(_xlnm.Database,FILESTAT!DA$3,bfy1991_)</f>
        <v>0</v>
      </c>
      <c r="DB8" s="111">
        <f>DSUM(_xlnm.Database,FILESTAT!DB$3,bfy1991_)</f>
        <v>0</v>
      </c>
      <c r="DC8" s="111">
        <f>DSUM(_xlnm.Database,FILESTAT!DC$3,bfy1991_)</f>
        <v>0</v>
      </c>
      <c r="DD8" s="111">
        <f>DSUM(_xlnm.Database,FILESTAT!DD$3,bfy1991_)</f>
        <v>0</v>
      </c>
      <c r="DE8" s="111">
        <f>DSUM(_xlnm.Database,FILESTAT!DE$3,bfy1991_)</f>
        <v>0</v>
      </c>
      <c r="DF8" s="111">
        <f>DSUM(_xlnm.Database,FILESTAT!DF$3,bfy1991_)</f>
        <v>0</v>
      </c>
      <c r="DG8" s="111">
        <f>DSUM(_xlnm.Database,FILESTAT!DG$3,bfy1991_)</f>
        <v>0</v>
      </c>
      <c r="DH8" s="111">
        <f>DSUM(_xlnm.Database,FILESTAT!DH$3,bfy1991_)</f>
        <v>0</v>
      </c>
      <c r="DI8" s="111">
        <f>DSUM(_xlnm.Database,FILESTAT!DI$3,bfy1991_)</f>
        <v>0</v>
      </c>
      <c r="DJ8" s="111">
        <f>DSUM(_xlnm.Database,FILESTAT!DJ$3,bfy1991_)</f>
        <v>0</v>
      </c>
      <c r="DK8" s="111">
        <f>DSUM(_xlnm.Database,FILESTAT!DK$3,bfy1991_)</f>
        <v>0</v>
      </c>
      <c r="DL8" s="111">
        <f>DSUM(_xlnm.Database,FILESTAT!DL$3,bfy1991_)</f>
        <v>0</v>
      </c>
      <c r="DM8" s="111">
        <f>DSUM(_xlnm.Database,FILESTAT!DM$3,bfy1991_)</f>
        <v>0</v>
      </c>
      <c r="DN8" s="111">
        <f>DSUM(_xlnm.Database,FILESTAT!DN$3,bfy1991_)</f>
        <v>0</v>
      </c>
      <c r="DO8" s="111">
        <f>DSUM(_xlnm.Database,FILESTAT!DO$3,bfy1991_)</f>
        <v>0</v>
      </c>
      <c r="DP8" s="111">
        <f>DSUM(_xlnm.Database,FILESTAT!DP$3,bfy1991_)</f>
        <v>0</v>
      </c>
      <c r="DQ8" s="111">
        <f>DSUM(_xlnm.Database,FILESTAT!DQ$3,bfy1991_)</f>
        <v>0</v>
      </c>
      <c r="DS8" s="111">
        <f>DSUM(_xlnm.Database,FILESTAT!DS$3,bfy1991_)</f>
        <v>0</v>
      </c>
      <c r="DT8" s="111">
        <f>DSUM(_xlnm.Database,FILESTAT!DT$3,bfy1991_)</f>
        <v>0</v>
      </c>
      <c r="DU8" s="111">
        <f>DSUM(_xlnm.Database,FILESTAT!DU$3,bfy1991_)</f>
        <v>0</v>
      </c>
      <c r="DV8" s="127">
        <f t="shared" si="0"/>
        <v>0</v>
      </c>
      <c r="DW8" s="128"/>
    </row>
    <row r="9" spans="1:129" s="111" customFormat="1">
      <c r="A9" s="119">
        <v>1992</v>
      </c>
      <c r="B9" s="189"/>
      <c r="C9" s="110">
        <f>DSUM(_xlnm.Database,FILESTAT!C$3,bfy1992_)</f>
        <v>100</v>
      </c>
      <c r="D9" s="111">
        <f>DSUM(_xlnm.Database,FILESTAT!D$3,bfy1992_)</f>
        <v>481</v>
      </c>
      <c r="E9" s="111">
        <f>DSUM(_xlnm.Database,FILESTAT!E$3,bfy1992_)</f>
        <v>108</v>
      </c>
      <c r="F9" s="111">
        <f>DSUM(_xlnm.Database,FILESTAT!F$3,bfy1992_)</f>
        <v>11</v>
      </c>
      <c r="G9" s="111">
        <f>DSUM(_xlnm.Database,FILESTAT!G$3,bfy1992_)</f>
        <v>55</v>
      </c>
      <c r="H9" s="111">
        <f>DSUM(_xlnm.Database,FILESTAT!H$3,bfy1992_)</f>
        <v>41</v>
      </c>
      <c r="I9" s="111">
        <f>DSUM(_xlnm.Database,FILESTAT!I$3,bfy1992_)</f>
        <v>0</v>
      </c>
      <c r="J9" s="111">
        <f>DSUM(_xlnm.Database,FILESTAT!J$3,bfy1992_)</f>
        <v>56</v>
      </c>
      <c r="K9" s="111">
        <f>DSUM(_xlnm.Database,FILESTAT!K$3,bfy1992_)</f>
        <v>0</v>
      </c>
      <c r="L9" s="111">
        <f>DSUM(_xlnm.Database,FILESTAT!L$3,bfy1992_)</f>
        <v>0</v>
      </c>
      <c r="M9" s="111">
        <f>DSUM(_xlnm.Database,FILESTAT!M$3,bfy1992_)</f>
        <v>0</v>
      </c>
      <c r="N9" s="111">
        <f>DSUM(_xlnm.Database,FILESTAT!N$3,bfy1992_)</f>
        <v>0</v>
      </c>
      <c r="O9" s="111">
        <f>DSUM(_xlnm.Database,FILESTAT!O$3,bfy1992_)</f>
        <v>306</v>
      </c>
      <c r="P9" s="111">
        <f>DSUM(_xlnm.Database,FILESTAT!P$3,bfy1992_)</f>
        <v>0</v>
      </c>
      <c r="Q9" s="111">
        <f>DSUM(_xlnm.Database,FILESTAT!Q$3,bfy1992_)</f>
        <v>0</v>
      </c>
      <c r="R9" s="112">
        <f>DSUM(_xlnm.Database,FILESTAT!R$3,bfy1992_)</f>
        <v>0</v>
      </c>
      <c r="S9" s="120">
        <f>IF(SUM(C9:R9)=FILESTAT!S144,SUM(C9:R9),"PROBLEM")</f>
        <v>1158</v>
      </c>
      <c r="T9" s="110">
        <f>DSUM(_xlnm.Database,FILESTAT!T$3,bfy1992_)</f>
        <v>0</v>
      </c>
      <c r="U9" s="110">
        <f>DSUM(_xlnm.Database,FILESTAT!U$3,bfy1992_)</f>
        <v>0</v>
      </c>
      <c r="V9" s="111">
        <f>DSUM(_xlnm.Database,FILESTAT!V$3,bfy1992_)</f>
        <v>0</v>
      </c>
      <c r="W9" s="111">
        <f>DSUM(_xlnm.Database,FILESTAT!W$3,bfy1992_)</f>
        <v>0</v>
      </c>
      <c r="X9" s="112">
        <f>DSUM(_xlnm.Database,FILESTAT!X$3,bfy1992_)</f>
        <v>0</v>
      </c>
      <c r="Z9" s="110"/>
      <c r="AA9" s="111">
        <f>DSUM(_xlnm.Database,FILESTAT!AA$3,bfy1992_)</f>
        <v>25629317</v>
      </c>
      <c r="AC9" s="110"/>
      <c r="AE9" s="120"/>
      <c r="AG9" s="110">
        <f>DSUM(_xlnm.Database,FILESTAT!AG$3,bfy1992_)</f>
        <v>2112</v>
      </c>
      <c r="AH9" s="111">
        <f>DSUM(_xlnm.Database,FILESTAT!AH$3,bfy1992_)</f>
        <v>256</v>
      </c>
      <c r="AI9" s="111">
        <f>DSUM(_xlnm.Database,FILESTAT!AI$3,bfy1992_)</f>
        <v>3367</v>
      </c>
      <c r="AJ9" s="112">
        <f>DSUM(_xlnm.Database,FILESTAT!AJ$3,bfy1992_)</f>
        <v>496</v>
      </c>
      <c r="AL9" s="121"/>
      <c r="AM9" s="122"/>
      <c r="AN9" s="120"/>
      <c r="AO9" s="122"/>
      <c r="AP9" s="122"/>
      <c r="AQ9" s="120"/>
      <c r="AR9" s="122"/>
      <c r="AS9" s="122"/>
      <c r="AT9" s="122"/>
      <c r="AU9" s="122"/>
      <c r="AV9" s="123"/>
      <c r="AW9"/>
      <c r="AX9" s="356"/>
      <c r="AY9"/>
      <c r="BA9" s="121">
        <f>ROUND(DAVERAGE(_xlnm.Database,FILESTAT!BA$3,bfy1992_),0)</f>
        <v>1552</v>
      </c>
      <c r="BB9" s="122"/>
      <c r="BC9" s="122">
        <f>DAVERAGE(_xlnm.Database,FILESTAT!BC$3,bfy1992_)</f>
        <v>17874944</v>
      </c>
      <c r="BD9" s="122"/>
      <c r="BI9" s="122"/>
      <c r="BJ9" s="122"/>
      <c r="BK9" s="122"/>
      <c r="BL9" s="122"/>
      <c r="BM9" s="112">
        <f>DSUM(_xlnm.Database,FILESTAT!BM$3,bfy1992_)</f>
        <v>3494</v>
      </c>
      <c r="BO9" s="121"/>
      <c r="BP9" s="123"/>
      <c r="BR9" s="236"/>
      <c r="BS9" s="126"/>
      <c r="BT9" s="237"/>
      <c r="BV9" s="110">
        <f>DSUM(_xlnm.Database,FILESTAT!BV$3,bfy1992_)</f>
        <v>5</v>
      </c>
      <c r="BW9" s="111">
        <f>DSUM(_xlnm.Database,FILESTAT!BW$3,bfy1992_)</f>
        <v>60</v>
      </c>
      <c r="BX9" s="111">
        <f>DSUM(_xlnm.Database,FILESTAT!BX$3,bfy1992_)</f>
        <v>0</v>
      </c>
      <c r="BY9" s="111">
        <f>DSUM(_xlnm.Database,FILESTAT!BY$3,bfy1992_)</f>
        <v>0</v>
      </c>
      <c r="BZ9" s="111">
        <f>DSUM(_xlnm.Database,FILESTAT!BZ$3,bfy1992_)</f>
        <v>0</v>
      </c>
      <c r="CA9" s="111">
        <f>DSUM(_xlnm.Database,FILESTAT!CA$3,bfy1992_)</f>
        <v>0</v>
      </c>
      <c r="CB9" s="111">
        <f>DSUM(_xlnm.Database,FILESTAT!CB$3,bfy1992_)</f>
        <v>0</v>
      </c>
      <c r="CC9" s="289">
        <f>DSUM(_xlnm.Database,FILESTAT!CC$3,bfy1992_)</f>
        <v>0</v>
      </c>
      <c r="CD9" s="111">
        <f>DSUM(_xlnm.Database,FILESTAT!CD$3,bfy1992_)</f>
        <v>49</v>
      </c>
      <c r="CE9" s="289">
        <f>DSUM(_xlnm.Database,FILESTAT!CE$3,bfy1992_)</f>
        <v>0</v>
      </c>
      <c r="CF9" s="111">
        <f>DSUM(_xlnm.Database,FILESTAT!CF$3,bfy1992_)</f>
        <v>17</v>
      </c>
      <c r="CG9" s="111">
        <f>DSUM(_xlnm.Database,FILESTAT!CG$3,bfy1992_)</f>
        <v>3</v>
      </c>
      <c r="CH9" s="111">
        <f>DSUM(_xlnm.Database,FILESTAT!CH$3,bfy1992_)</f>
        <v>0</v>
      </c>
      <c r="CI9" s="111">
        <f>DSUM(_xlnm.Database,FILESTAT!CI$3,bfy1992_)</f>
        <v>20</v>
      </c>
      <c r="CJ9" s="111">
        <f>DSUM(_xlnm.Database,FILESTAT!CJ$3,bfy1992_)</f>
        <v>84</v>
      </c>
      <c r="CK9" s="289">
        <f>DSUM(_xlnm.Database,FILESTAT!CK$3,bfy1992_)</f>
        <v>0</v>
      </c>
      <c r="CL9" s="111">
        <f>DSUM(_xlnm.Database,FILESTAT!CL$3,bfy1992_)</f>
        <v>0</v>
      </c>
      <c r="CM9" s="111">
        <f>DSUM(_xlnm.Database,FILESTAT!CM$3,bfy1992_)</f>
        <v>1</v>
      </c>
      <c r="CN9" s="111">
        <f>DSUM(_xlnm.Database,FILESTAT!CN$3,bfy1992_)</f>
        <v>0</v>
      </c>
      <c r="CO9" s="111">
        <f>DSUM(_xlnm.Database,FILESTAT!CO$3,bfy1992_)</f>
        <v>30</v>
      </c>
      <c r="CP9" s="289">
        <f>DSUM(_xlnm.Database,FILESTAT!CP$3,bfy1992_)</f>
        <v>0</v>
      </c>
      <c r="CQ9" s="111">
        <f>DSUM(_xlnm.Database,FILESTAT!CQ$3,bfy1992_)</f>
        <v>0</v>
      </c>
      <c r="CR9" s="111">
        <f>DSUM(_xlnm.Database,FILESTAT!CR$3,bfy1992_)</f>
        <v>0</v>
      </c>
      <c r="CS9" s="111">
        <f>DSUM(_xlnm.Database,FILESTAT!CS$3,bfy1992_)</f>
        <v>14</v>
      </c>
      <c r="CT9" s="111">
        <f>DSUM(_xlnm.Database,FILESTAT!CT$3,bfy1992_)</f>
        <v>137</v>
      </c>
      <c r="CU9" s="111">
        <f>DSUM(_xlnm.Database,FILESTAT!CU$3,bfy1992_)</f>
        <v>26</v>
      </c>
      <c r="CV9" s="111">
        <f>DSUM(_xlnm.Database,FILESTAT!CV$3,bfy1992_)</f>
        <v>17</v>
      </c>
      <c r="CW9" s="111">
        <f>DSUM(_xlnm.Database,FILESTAT!CW$3,bfy1992_)</f>
        <v>0</v>
      </c>
      <c r="CX9" s="111">
        <f>DSUM(_xlnm.Database,FILESTAT!CX$3,bfy1992_)</f>
        <v>0</v>
      </c>
      <c r="CY9" s="111">
        <f>DSUM(_xlnm.Database,FILESTAT!CY$3,bfy1992_)</f>
        <v>0</v>
      </c>
      <c r="CZ9" s="111">
        <f>DSUM(_xlnm.Database,FILESTAT!CZ$3,bfy1992_)</f>
        <v>0</v>
      </c>
      <c r="DA9" s="111">
        <f>DSUM(_xlnm.Database,FILESTAT!DA$3,bfy1992_)</f>
        <v>0</v>
      </c>
      <c r="DB9" s="111">
        <f>DSUM(_xlnm.Database,FILESTAT!DB$3,bfy1992_)</f>
        <v>67</v>
      </c>
      <c r="DC9" s="111">
        <f>DSUM(_xlnm.Database,FILESTAT!DC$3,bfy1992_)</f>
        <v>0</v>
      </c>
      <c r="DD9" s="111">
        <f>DSUM(_xlnm.Database,FILESTAT!DD$3,bfy1992_)</f>
        <v>0</v>
      </c>
      <c r="DE9" s="111">
        <f>DSUM(_xlnm.Database,FILESTAT!DE$3,bfy1992_)</f>
        <v>0</v>
      </c>
      <c r="DF9" s="111">
        <f>DSUM(_xlnm.Database,FILESTAT!DF$3,bfy1992_)</f>
        <v>0</v>
      </c>
      <c r="DG9" s="111">
        <f>DSUM(_xlnm.Database,FILESTAT!DG$3,bfy1992_)</f>
        <v>18</v>
      </c>
      <c r="DH9" s="111">
        <f>DSUM(_xlnm.Database,FILESTAT!DH$3,bfy1992_)</f>
        <v>7</v>
      </c>
      <c r="DI9" s="111">
        <f>DSUM(_xlnm.Database,FILESTAT!DI$3,bfy1992_)</f>
        <v>7</v>
      </c>
      <c r="DJ9" s="111">
        <f>DSUM(_xlnm.Database,FILESTAT!DJ$3,bfy1992_)</f>
        <v>0</v>
      </c>
      <c r="DK9" s="111">
        <f>DSUM(_xlnm.Database,FILESTAT!DK$3,bfy1992_)</f>
        <v>0</v>
      </c>
      <c r="DL9" s="111">
        <f>DSUM(_xlnm.Database,FILESTAT!DL$3,bfy1992_)</f>
        <v>0</v>
      </c>
      <c r="DM9" s="111">
        <f>DSUM(_xlnm.Database,FILESTAT!DM$3,bfy1992_)</f>
        <v>15</v>
      </c>
      <c r="DN9" s="111">
        <f>DSUM(_xlnm.Database,FILESTAT!DN$3,bfy1992_)</f>
        <v>0</v>
      </c>
      <c r="DO9" s="111">
        <f>DSUM(_xlnm.Database,FILESTAT!DO$3,bfy1992_)</f>
        <v>29</v>
      </c>
      <c r="DP9" s="111">
        <f>DSUM(_xlnm.Database,FILESTAT!DP$3,bfy1992_)</f>
        <v>0</v>
      </c>
      <c r="DQ9" s="111">
        <f>DSUM(_xlnm.Database,FILESTAT!DQ$3,bfy1992_)</f>
        <v>0</v>
      </c>
      <c r="DS9" s="111">
        <f>DSUM(_xlnm.Database,FILESTAT!DS$3,bfy1992_)</f>
        <v>0</v>
      </c>
      <c r="DT9" s="111">
        <f>DSUM(_xlnm.Database,FILESTAT!DT$3,bfy1992_)</f>
        <v>12</v>
      </c>
      <c r="DU9" s="111">
        <f>DSUM(_xlnm.Database,FILESTAT!DU$3,bfy1992_)</f>
        <v>0</v>
      </c>
      <c r="DV9" s="127">
        <f t="shared" si="0"/>
        <v>618</v>
      </c>
      <c r="DW9" s="129" t="str">
        <f t="shared" ref="DW9:DW22" si="1">IF(DV9=S9,"","PROB")</f>
        <v>PROB</v>
      </c>
    </row>
    <row r="10" spans="1:129" s="111" customFormat="1">
      <c r="A10" s="119">
        <v>1993</v>
      </c>
      <c r="B10" s="189"/>
      <c r="C10" s="110">
        <f>DSUM(_xlnm.Database,FILESTAT!C$3,bfy1993_)</f>
        <v>138</v>
      </c>
      <c r="D10" s="111">
        <f>DSUM(_xlnm.Database,FILESTAT!D$3,bfy1993_)</f>
        <v>581</v>
      </c>
      <c r="E10" s="111">
        <f>DSUM(_xlnm.Database,FILESTAT!E$3,bfy1993_)</f>
        <v>162</v>
      </c>
      <c r="F10" s="111">
        <f>DSUM(_xlnm.Database,FILESTAT!F$3,bfy1993_)</f>
        <v>8</v>
      </c>
      <c r="G10" s="111">
        <f>DSUM(_xlnm.Database,FILESTAT!G$3,bfy1993_)</f>
        <v>88</v>
      </c>
      <c r="H10" s="111">
        <f>DSUM(_xlnm.Database,FILESTAT!H$3,bfy1993_)</f>
        <v>23</v>
      </c>
      <c r="I10" s="111">
        <f>DSUM(_xlnm.Database,FILESTAT!I$3,bfy1993_)</f>
        <v>0</v>
      </c>
      <c r="J10" s="111">
        <f>DSUM(_xlnm.Database,FILESTAT!J$3,bfy1993_)</f>
        <v>291</v>
      </c>
      <c r="K10" s="111">
        <f>DSUM(_xlnm.Database,FILESTAT!K$3,bfy1993_)</f>
        <v>0</v>
      </c>
      <c r="L10" s="111">
        <f>DSUM(_xlnm.Database,FILESTAT!L$3,bfy1993_)</f>
        <v>0</v>
      </c>
      <c r="M10" s="111">
        <f>DSUM(_xlnm.Database,FILESTAT!M$3,bfy1993_)</f>
        <v>0</v>
      </c>
      <c r="N10" s="111">
        <f>DSUM(_xlnm.Database,FILESTAT!N$3,bfy1993_)</f>
        <v>0</v>
      </c>
      <c r="O10" s="111">
        <f>DSUM(_xlnm.Database,FILESTAT!O$3,bfy1993_)</f>
        <v>351</v>
      </c>
      <c r="P10" s="111">
        <f>DSUM(_xlnm.Database,FILESTAT!P$3,bfy1993_)</f>
        <v>0</v>
      </c>
      <c r="Q10" s="111">
        <f>DSUM(_xlnm.Database,FILESTAT!Q$3,bfy1993_)</f>
        <v>0</v>
      </c>
      <c r="R10" s="112">
        <f>DSUM(_xlnm.Database,FILESTAT!R$3,bfy1993_)</f>
        <v>11</v>
      </c>
      <c r="S10" s="120">
        <f>IF(SUM(C10:R10)=FILESTAT!S173,SUM(C10:R10),"PROBLEM")</f>
        <v>1653</v>
      </c>
      <c r="T10" s="110">
        <f>DSUM(_xlnm.Database,FILESTAT!T$3,bfy1993_)</f>
        <v>0</v>
      </c>
      <c r="U10" s="110">
        <f>DSUM(_xlnm.Database,FILESTAT!U$3,bfy1993_)</f>
        <v>0</v>
      </c>
      <c r="V10" s="111">
        <f>DSUM(_xlnm.Database,FILESTAT!V$3,bfy1993_)</f>
        <v>0</v>
      </c>
      <c r="W10" s="111">
        <f>DSUM(_xlnm.Database,FILESTAT!W$3,bfy1993_)</f>
        <v>0</v>
      </c>
      <c r="X10" s="112">
        <f>DSUM(_xlnm.Database,FILESTAT!X$3,bfy1993_)</f>
        <v>0</v>
      </c>
      <c r="Z10" s="110"/>
      <c r="AA10" s="111">
        <f>DSUM(_xlnm.Database,FILESTAT!AA$3,bfy1993_)</f>
        <v>30638827</v>
      </c>
      <c r="AC10" s="110"/>
      <c r="AE10" s="120"/>
      <c r="AG10" s="110">
        <f>DSUM(_xlnm.Database,FILESTAT!AG$3,bfy1993_)</f>
        <v>2189</v>
      </c>
      <c r="AH10" s="111">
        <f>DSUM(_xlnm.Database,FILESTAT!AH$3,bfy1993_)</f>
        <v>480</v>
      </c>
      <c r="AI10" s="111">
        <f>DSUM(_xlnm.Database,FILESTAT!AI$3,bfy1993_)</f>
        <v>3668</v>
      </c>
      <c r="AJ10" s="112">
        <f>DSUM(_xlnm.Database,FILESTAT!AJ$3,bfy1993_)</f>
        <v>548</v>
      </c>
      <c r="AL10" s="121">
        <f>DAVERAGE(_xlnm.Database,FILESTAT!AL$3,bfy1993_)</f>
        <v>32</v>
      </c>
      <c r="AM10" s="122">
        <f>DAVERAGE(_xlnm.Database,FILESTAT!AM$3,bfy1993_)</f>
        <v>146</v>
      </c>
      <c r="AN10" s="120">
        <f>ROUND(SUM(AL10:AM10),0)</f>
        <v>178</v>
      </c>
      <c r="AO10" s="122">
        <f>DAVERAGE(_xlnm.Database,FILESTAT!AO$3,bfy1993_)</f>
        <v>154</v>
      </c>
      <c r="AP10" s="122">
        <f>DAVERAGE(_xlnm.Database,FILESTAT!AP$3,bfy1993_)</f>
        <v>34</v>
      </c>
      <c r="AQ10" s="120">
        <f>ROUND(SUM(AO10:AP10),0)</f>
        <v>188</v>
      </c>
      <c r="AR10" s="122"/>
      <c r="AS10" s="122"/>
      <c r="AT10" s="122"/>
      <c r="AU10" s="122"/>
      <c r="AV10" s="123"/>
      <c r="AW10"/>
      <c r="AX10" s="356"/>
      <c r="AY10"/>
      <c r="BA10" s="121">
        <f>ROUND(DAVERAGE(_xlnm.Database,FILESTAT!BA$3,bfy1993_),0)</f>
        <v>1531</v>
      </c>
      <c r="BB10" s="122"/>
      <c r="BC10" s="122">
        <f>DAVERAGE(_xlnm.Database,FILESTAT!BC$3,bfy1993_)</f>
        <v>17595830.857142858</v>
      </c>
      <c r="BD10" s="122"/>
      <c r="BI10" s="122"/>
      <c r="BJ10" s="122"/>
      <c r="BK10" s="122"/>
      <c r="BL10" s="122"/>
      <c r="BM10" s="112">
        <f>DSUM(_xlnm.Database,FILESTAT!BM$3,bfy1993_)</f>
        <v>3281</v>
      </c>
      <c r="BO10" s="121"/>
      <c r="BP10" s="123"/>
      <c r="BR10" s="236"/>
      <c r="BS10" s="126"/>
      <c r="BT10" s="237"/>
      <c r="BV10" s="110">
        <f>DSUM(_xlnm.Database,FILESTAT!BV$3,bfy1993_)</f>
        <v>51</v>
      </c>
      <c r="BW10" s="111">
        <f>DSUM(_xlnm.Database,FILESTAT!BW$3,bfy1993_)</f>
        <v>21</v>
      </c>
      <c r="BX10" s="111">
        <f>DSUM(_xlnm.Database,FILESTAT!BX$3,bfy1993_)</f>
        <v>0</v>
      </c>
      <c r="BY10" s="111">
        <f>DSUM(_xlnm.Database,FILESTAT!BY$3,bfy1993_)</f>
        <v>0</v>
      </c>
      <c r="BZ10" s="111">
        <f>DSUM(_xlnm.Database,FILESTAT!BZ$3,bfy1993_)</f>
        <v>0</v>
      </c>
      <c r="CA10" s="111">
        <f>DSUM(_xlnm.Database,FILESTAT!CA$3,bfy1993_)</f>
        <v>0</v>
      </c>
      <c r="CB10" s="111">
        <f>DSUM(_xlnm.Database,FILESTAT!CB$3,bfy1993_)</f>
        <v>0</v>
      </c>
      <c r="CC10" s="289">
        <f>DSUM(_xlnm.Database,FILESTAT!CC$3,bfy1993_)</f>
        <v>0</v>
      </c>
      <c r="CD10" s="111">
        <f>DSUM(_xlnm.Database,FILESTAT!CD$3,bfy1993_)</f>
        <v>93</v>
      </c>
      <c r="CE10" s="289">
        <f>DSUM(_xlnm.Database,FILESTAT!CE$3,bfy1993_)</f>
        <v>0</v>
      </c>
      <c r="CF10" s="111">
        <f>DSUM(_xlnm.Database,FILESTAT!CF$3,bfy1993_)</f>
        <v>12</v>
      </c>
      <c r="CG10" s="111">
        <f>DSUM(_xlnm.Database,FILESTAT!CG$3,bfy1993_)</f>
        <v>18</v>
      </c>
      <c r="CH10" s="111">
        <f>DSUM(_xlnm.Database,FILESTAT!CH$3,bfy1993_)</f>
        <v>0</v>
      </c>
      <c r="CI10" s="111">
        <f>DSUM(_xlnm.Database,FILESTAT!CI$3,bfy1993_)</f>
        <v>105</v>
      </c>
      <c r="CJ10" s="111">
        <f>DSUM(_xlnm.Database,FILESTAT!CJ$3,bfy1993_)</f>
        <v>179</v>
      </c>
      <c r="CK10" s="289">
        <f>DSUM(_xlnm.Database,FILESTAT!CK$3,bfy1993_)</f>
        <v>0</v>
      </c>
      <c r="CL10" s="111">
        <f>DSUM(_xlnm.Database,FILESTAT!CL$3,bfy1993_)</f>
        <v>0</v>
      </c>
      <c r="CM10" s="111">
        <f>DSUM(_xlnm.Database,FILESTAT!CM$3,bfy1993_)</f>
        <v>62</v>
      </c>
      <c r="CN10" s="111">
        <f>DSUM(_xlnm.Database,FILESTAT!CN$3,bfy1993_)</f>
        <v>0</v>
      </c>
      <c r="CO10" s="111">
        <f>DSUM(_xlnm.Database,FILESTAT!CO$3,bfy1993_)</f>
        <v>167</v>
      </c>
      <c r="CP10" s="289">
        <f>DSUM(_xlnm.Database,FILESTAT!CP$3,bfy1993_)</f>
        <v>0</v>
      </c>
      <c r="CQ10" s="111">
        <f>DSUM(_xlnm.Database,FILESTAT!CQ$3,bfy1993_)</f>
        <v>0</v>
      </c>
      <c r="CR10" s="111">
        <f>DSUM(_xlnm.Database,FILESTAT!CR$3,bfy1993_)</f>
        <v>0</v>
      </c>
      <c r="CS10" s="111">
        <f>DSUM(_xlnm.Database,FILESTAT!CS$3,bfy1993_)</f>
        <v>20</v>
      </c>
      <c r="CT10" s="111">
        <f>DSUM(_xlnm.Database,FILESTAT!CT$3,bfy1993_)</f>
        <v>296</v>
      </c>
      <c r="CU10" s="111">
        <f>DSUM(_xlnm.Database,FILESTAT!CU$3,bfy1993_)</f>
        <v>76</v>
      </c>
      <c r="CV10" s="111">
        <f>DSUM(_xlnm.Database,FILESTAT!CV$3,bfy1993_)</f>
        <v>44</v>
      </c>
      <c r="CW10" s="111">
        <f>DSUM(_xlnm.Database,FILESTAT!CW$3,bfy1993_)</f>
        <v>0</v>
      </c>
      <c r="CX10" s="111">
        <f>DSUM(_xlnm.Database,FILESTAT!CX$3,bfy1993_)</f>
        <v>0</v>
      </c>
      <c r="CY10" s="111">
        <f>DSUM(_xlnm.Database,FILESTAT!CY$3,bfy1993_)</f>
        <v>0</v>
      </c>
      <c r="CZ10" s="111">
        <f>DSUM(_xlnm.Database,FILESTAT!CZ$3,bfy1993_)</f>
        <v>0</v>
      </c>
      <c r="DA10" s="111">
        <f>DSUM(_xlnm.Database,FILESTAT!DA$3,bfy1993_)</f>
        <v>0</v>
      </c>
      <c r="DB10" s="111">
        <f>DSUM(_xlnm.Database,FILESTAT!DB$3,bfy1993_)</f>
        <v>152</v>
      </c>
      <c r="DC10" s="111">
        <f>DSUM(_xlnm.Database,FILESTAT!DC$3,bfy1993_)</f>
        <v>0</v>
      </c>
      <c r="DD10" s="111">
        <f>DSUM(_xlnm.Database,FILESTAT!DD$3,bfy1993_)</f>
        <v>0</v>
      </c>
      <c r="DE10" s="111">
        <f>DSUM(_xlnm.Database,FILESTAT!DE$3,bfy1993_)</f>
        <v>0</v>
      </c>
      <c r="DF10" s="111">
        <f>DSUM(_xlnm.Database,FILESTAT!DF$3,bfy1993_)</f>
        <v>0</v>
      </c>
      <c r="DG10" s="111">
        <f>DSUM(_xlnm.Database,FILESTAT!DG$3,bfy1993_)</f>
        <v>65</v>
      </c>
      <c r="DH10" s="111">
        <f>DSUM(_xlnm.Database,FILESTAT!DH$3,bfy1993_)</f>
        <v>29</v>
      </c>
      <c r="DI10" s="111">
        <f>DSUM(_xlnm.Database,FILESTAT!DI$3,bfy1993_)</f>
        <v>25</v>
      </c>
      <c r="DJ10" s="111">
        <f>DSUM(_xlnm.Database,FILESTAT!DJ$3,bfy1993_)</f>
        <v>0</v>
      </c>
      <c r="DK10" s="111">
        <f>DSUM(_xlnm.Database,FILESTAT!DK$3,bfy1993_)</f>
        <v>0</v>
      </c>
      <c r="DL10" s="111">
        <f>DSUM(_xlnm.Database,FILESTAT!DL$3,bfy1993_)</f>
        <v>0</v>
      </c>
      <c r="DM10" s="111">
        <f>DSUM(_xlnm.Database,FILESTAT!DM$3,bfy1993_)</f>
        <v>99</v>
      </c>
      <c r="DN10" s="111">
        <f>DSUM(_xlnm.Database,FILESTAT!DN$3,bfy1993_)</f>
        <v>0</v>
      </c>
      <c r="DO10" s="111">
        <f>DSUM(_xlnm.Database,FILESTAT!DO$3,bfy1993_)</f>
        <v>63</v>
      </c>
      <c r="DP10" s="111">
        <f>DSUM(_xlnm.Database,FILESTAT!DP$3,bfy1993_)</f>
        <v>0</v>
      </c>
      <c r="DQ10" s="111">
        <f>DSUM(_xlnm.Database,FILESTAT!DQ$3,bfy1993_)</f>
        <v>0</v>
      </c>
      <c r="DS10" s="111">
        <f>DSUM(_xlnm.Database,FILESTAT!DS$3,bfy1993_)</f>
        <v>0</v>
      </c>
      <c r="DT10" s="111">
        <f>DSUM(_xlnm.Database,FILESTAT!DT$3,bfy1993_)</f>
        <v>65</v>
      </c>
      <c r="DU10" s="111">
        <f>DSUM(_xlnm.Database,FILESTAT!DU$3,bfy1993_)</f>
        <v>11</v>
      </c>
      <c r="DV10" s="127">
        <f t="shared" si="0"/>
        <v>1653</v>
      </c>
      <c r="DW10" s="129" t="str">
        <f t="shared" si="1"/>
        <v/>
      </c>
    </row>
    <row r="11" spans="1:129" s="111" customFormat="1">
      <c r="A11" s="119">
        <v>1994</v>
      </c>
      <c r="B11" s="189"/>
      <c r="C11" s="110">
        <f>DSUM(_xlnm.Database,FILESTAT!C$3,bfy1994_)</f>
        <v>84</v>
      </c>
      <c r="D11" s="111">
        <f>DSUM(_xlnm.Database,FILESTAT!D$3,bfy1994_)</f>
        <v>515</v>
      </c>
      <c r="E11" s="111">
        <f>DSUM(_xlnm.Database,FILESTAT!E$3,bfy1994_)</f>
        <v>40</v>
      </c>
      <c r="F11" s="111">
        <f>DSUM(_xlnm.Database,FILESTAT!F$3,bfy1994_)</f>
        <v>21</v>
      </c>
      <c r="G11" s="111">
        <f>DSUM(_xlnm.Database,FILESTAT!G$3,bfy1994_)</f>
        <v>53</v>
      </c>
      <c r="H11" s="111">
        <f>DSUM(_xlnm.Database,FILESTAT!H$3,bfy1994_)</f>
        <v>42</v>
      </c>
      <c r="I11" s="111">
        <f>DSUM(_xlnm.Database,FILESTAT!I$3,bfy1994_)</f>
        <v>0</v>
      </c>
      <c r="J11" s="111">
        <f>DSUM(_xlnm.Database,FILESTAT!J$3,bfy1994_)</f>
        <v>94</v>
      </c>
      <c r="K11" s="111">
        <f>DSUM(_xlnm.Database,FILESTAT!K$3,bfy1994_)</f>
        <v>0</v>
      </c>
      <c r="L11" s="111">
        <f>DSUM(_xlnm.Database,FILESTAT!L$3,bfy1994_)</f>
        <v>0</v>
      </c>
      <c r="M11" s="111">
        <f>DSUM(_xlnm.Database,FILESTAT!M$3,bfy1994_)</f>
        <v>0</v>
      </c>
      <c r="N11" s="111">
        <f>DSUM(_xlnm.Database,FILESTAT!N$3,bfy1994_)</f>
        <v>0</v>
      </c>
      <c r="O11" s="111">
        <f>DSUM(_xlnm.Database,FILESTAT!O$3,bfy1994_)</f>
        <v>569</v>
      </c>
      <c r="P11" s="111">
        <f>DSUM(_xlnm.Database,FILESTAT!P$3,bfy1994_)</f>
        <v>10</v>
      </c>
      <c r="Q11" s="111">
        <f>DSUM(_xlnm.Database,FILESTAT!Q$3,bfy1994_)</f>
        <v>0</v>
      </c>
      <c r="R11" s="112">
        <f>DSUM(_xlnm.Database,FILESTAT!R$3,bfy1994_)</f>
        <v>2</v>
      </c>
      <c r="S11" s="120">
        <f>IF(SUM(C11:R11)=FILESTAT!S202,SUM(C11:R11),"PROBLEM")</f>
        <v>1430</v>
      </c>
      <c r="T11" s="110">
        <f>DSUM(_xlnm.Database,FILESTAT!T$3,bfy1994_)</f>
        <v>237</v>
      </c>
      <c r="U11" s="110">
        <f>DSUM(_xlnm.Database,FILESTAT!U$3,bfy1994_)</f>
        <v>0</v>
      </c>
      <c r="V11" s="111">
        <f>DSUM(_xlnm.Database,FILESTAT!V$3,bfy1994_)</f>
        <v>0</v>
      </c>
      <c r="W11" s="111">
        <f>DSUM(_xlnm.Database,FILESTAT!W$3,bfy1994_)</f>
        <v>69</v>
      </c>
      <c r="X11" s="112">
        <f>DSUM(_xlnm.Database,FILESTAT!X$3,bfy1994_)</f>
        <v>2</v>
      </c>
      <c r="Z11" s="110"/>
      <c r="AA11" s="111">
        <f>DSUM(_xlnm.Database,FILESTAT!AA$3,bfy1994_)</f>
        <v>34935956</v>
      </c>
      <c r="AC11" s="110"/>
      <c r="AE11" s="120"/>
      <c r="AG11" s="110">
        <f>DSUM(_xlnm.Database,FILESTAT!AG$3,bfy1994_)</f>
        <v>2200</v>
      </c>
      <c r="AH11" s="111">
        <f>DSUM(_xlnm.Database,FILESTAT!AH$3,bfy1994_)</f>
        <v>522</v>
      </c>
      <c r="AI11" s="111">
        <f>DSUM(_xlnm.Database,FILESTAT!AI$3,bfy1994_)</f>
        <v>3368</v>
      </c>
      <c r="AJ11" s="112">
        <f>DSUM(_xlnm.Database,FILESTAT!AJ$3,bfy1994_)</f>
        <v>482</v>
      </c>
      <c r="AL11" s="121">
        <f>DAVERAGE(_xlnm.Database,FILESTAT!AL$3,bfy1994_)</f>
        <v>33</v>
      </c>
      <c r="AM11" s="122">
        <f>DAVERAGE(_xlnm.Database,FILESTAT!AM$3,bfy1994_)</f>
        <v>148</v>
      </c>
      <c r="AN11" s="120">
        <f t="shared" ref="AN11:AN19" si="2">ROUND(SUM(AL11:AM11),0)</f>
        <v>181</v>
      </c>
      <c r="AO11" s="122">
        <f>DAVERAGE(_xlnm.Database,FILESTAT!AO$3,bfy1994_)</f>
        <v>175</v>
      </c>
      <c r="AP11" s="122">
        <f>DAVERAGE(_xlnm.Database,FILESTAT!AP$3,bfy1994_)</f>
        <v>32</v>
      </c>
      <c r="AQ11" s="120">
        <f t="shared" ref="AQ11:AQ19" si="3">ROUND(SUM(AO11:AP11),0)</f>
        <v>207</v>
      </c>
      <c r="AR11" s="122"/>
      <c r="AS11" s="122"/>
      <c r="AT11" s="122"/>
      <c r="AU11" s="122"/>
      <c r="AV11" s="123"/>
      <c r="AW11"/>
      <c r="AX11" s="356"/>
      <c r="AY11"/>
      <c r="BA11" s="121">
        <f>ROUND(DAVERAGE(_xlnm.Database,FILESTAT!BA$3,bfy1994_),0)</f>
        <v>1549</v>
      </c>
      <c r="BB11" s="122"/>
      <c r="BC11" s="122">
        <f>DAVERAGE(_xlnm.Database,FILESTAT!BC$3,bfy1994_)</f>
        <v>18162688</v>
      </c>
      <c r="BD11" s="122"/>
      <c r="BE11" s="111">
        <f>DSUM(_xlnm.Database,FILESTAT!BE$3,bfy1994_)</f>
        <v>1033</v>
      </c>
      <c r="BF11" s="111">
        <f>DSUM(_xlnm.Database,FILESTAT!BF$3,bfy1994_)</f>
        <v>111</v>
      </c>
      <c r="BG11" s="111">
        <f>DSUM(_xlnm.Database,FILESTAT!BG$3,bfy1994_)</f>
        <v>44</v>
      </c>
      <c r="BI11" s="122"/>
      <c r="BJ11" s="122"/>
      <c r="BK11" s="122"/>
      <c r="BL11" s="122"/>
      <c r="BM11" s="112">
        <f>DSUM(_xlnm.Database,FILESTAT!BM$3,bfy1994_)</f>
        <v>3592</v>
      </c>
      <c r="BO11" s="121"/>
      <c r="BP11" s="123"/>
      <c r="BR11" s="236"/>
      <c r="BS11" s="126"/>
      <c r="BT11" s="237"/>
      <c r="BV11" s="110">
        <f>DSUM(_xlnm.Database,FILESTAT!BV$3,bfy1994_)</f>
        <v>84</v>
      </c>
      <c r="BW11" s="111">
        <f>DSUM(_xlnm.Database,FILESTAT!BW$3,bfy1994_)</f>
        <v>99</v>
      </c>
      <c r="BX11" s="111">
        <f>DSUM(_xlnm.Database,FILESTAT!BX$3,bfy1994_)</f>
        <v>0</v>
      </c>
      <c r="BY11" s="111">
        <f>DSUM(_xlnm.Database,FILESTAT!BY$3,bfy1994_)</f>
        <v>0</v>
      </c>
      <c r="BZ11" s="111">
        <f>DSUM(_xlnm.Database,FILESTAT!BZ$3,bfy1994_)</f>
        <v>0</v>
      </c>
      <c r="CA11" s="111">
        <f>DSUM(_xlnm.Database,FILESTAT!CA$3,bfy1994_)</f>
        <v>0</v>
      </c>
      <c r="CB11" s="111">
        <f>DSUM(_xlnm.Database,FILESTAT!CB$3,bfy1994_)</f>
        <v>0</v>
      </c>
      <c r="CC11" s="289">
        <f>DSUM(_xlnm.Database,FILESTAT!CC$3,bfy1994_)</f>
        <v>0</v>
      </c>
      <c r="CD11" s="111">
        <f>DSUM(_xlnm.Database,FILESTAT!CD$3,bfy1994_)</f>
        <v>140</v>
      </c>
      <c r="CE11" s="289">
        <f>DSUM(_xlnm.Database,FILESTAT!CE$3,bfy1994_)</f>
        <v>0</v>
      </c>
      <c r="CF11" s="111">
        <f>DSUM(_xlnm.Database,FILESTAT!CF$3,bfy1994_)</f>
        <v>14</v>
      </c>
      <c r="CG11" s="111">
        <f>DSUM(_xlnm.Database,FILESTAT!CG$3,bfy1994_)</f>
        <v>26</v>
      </c>
      <c r="CH11" s="111">
        <f>DSUM(_xlnm.Database,FILESTAT!CH$3,bfy1994_)</f>
        <v>0</v>
      </c>
      <c r="CI11" s="111">
        <f>DSUM(_xlnm.Database,FILESTAT!CI$3,bfy1994_)</f>
        <v>51</v>
      </c>
      <c r="CJ11" s="111">
        <f>DSUM(_xlnm.Database,FILESTAT!CJ$3,bfy1994_)</f>
        <v>163</v>
      </c>
      <c r="CK11" s="289">
        <f>DSUM(_xlnm.Database,FILESTAT!CK$3,bfy1994_)</f>
        <v>0</v>
      </c>
      <c r="CL11" s="111">
        <f>DSUM(_xlnm.Database,FILESTAT!CL$3,bfy1994_)</f>
        <v>0</v>
      </c>
      <c r="CM11" s="111">
        <f>DSUM(_xlnm.Database,FILESTAT!CM$3,bfy1994_)</f>
        <v>5</v>
      </c>
      <c r="CN11" s="111">
        <f>DSUM(_xlnm.Database,FILESTAT!CN$3,bfy1994_)</f>
        <v>0</v>
      </c>
      <c r="CO11" s="111">
        <f>DSUM(_xlnm.Database,FILESTAT!CO$3,bfy1994_)</f>
        <v>118</v>
      </c>
      <c r="CP11" s="289">
        <f>DSUM(_xlnm.Database,FILESTAT!CP$3,bfy1994_)</f>
        <v>0</v>
      </c>
      <c r="CQ11" s="111">
        <f>DSUM(_xlnm.Database,FILESTAT!CQ$3,bfy1994_)</f>
        <v>0</v>
      </c>
      <c r="CR11" s="111">
        <f>DSUM(_xlnm.Database,FILESTAT!CR$3,bfy1994_)</f>
        <v>0</v>
      </c>
      <c r="CS11" s="111">
        <f>DSUM(_xlnm.Database,FILESTAT!CS$3,bfy1994_)</f>
        <v>36</v>
      </c>
      <c r="CT11" s="111">
        <f>DSUM(_xlnm.Database,FILESTAT!CT$3,bfy1994_)</f>
        <v>144</v>
      </c>
      <c r="CU11" s="111">
        <f>DSUM(_xlnm.Database,FILESTAT!CU$3,bfy1994_)</f>
        <v>151</v>
      </c>
      <c r="CV11" s="111">
        <f>DSUM(_xlnm.Database,FILESTAT!CV$3,bfy1994_)</f>
        <v>36</v>
      </c>
      <c r="CW11" s="111">
        <f>DSUM(_xlnm.Database,FILESTAT!CW$3,bfy1994_)</f>
        <v>0</v>
      </c>
      <c r="CX11" s="111">
        <f>DSUM(_xlnm.Database,FILESTAT!CX$3,bfy1994_)</f>
        <v>0</v>
      </c>
      <c r="CY11" s="111">
        <f>DSUM(_xlnm.Database,FILESTAT!CY$3,bfy1994_)</f>
        <v>0</v>
      </c>
      <c r="CZ11" s="111">
        <f>DSUM(_xlnm.Database,FILESTAT!CZ$3,bfy1994_)</f>
        <v>0</v>
      </c>
      <c r="DA11" s="111">
        <f>DSUM(_xlnm.Database,FILESTAT!DA$3,bfy1994_)</f>
        <v>0</v>
      </c>
      <c r="DB11" s="111">
        <f>DSUM(_xlnm.Database,FILESTAT!DB$3,bfy1994_)</f>
        <v>133</v>
      </c>
      <c r="DC11" s="111">
        <f>DSUM(_xlnm.Database,FILESTAT!DC$3,bfy1994_)</f>
        <v>0</v>
      </c>
      <c r="DD11" s="111">
        <f>DSUM(_xlnm.Database,FILESTAT!DD$3,bfy1994_)</f>
        <v>0</v>
      </c>
      <c r="DE11" s="111">
        <f>DSUM(_xlnm.Database,FILESTAT!DE$3,bfy1994_)</f>
        <v>0</v>
      </c>
      <c r="DF11" s="111">
        <f>DSUM(_xlnm.Database,FILESTAT!DF$3,bfy1994_)</f>
        <v>0</v>
      </c>
      <c r="DG11" s="111">
        <f>DSUM(_xlnm.Database,FILESTAT!DG$3,bfy1994_)</f>
        <v>40</v>
      </c>
      <c r="DH11" s="111">
        <f>DSUM(_xlnm.Database,FILESTAT!DH$3,bfy1994_)</f>
        <v>28</v>
      </c>
      <c r="DI11" s="111">
        <f>DSUM(_xlnm.Database,FILESTAT!DI$3,bfy1994_)</f>
        <v>19</v>
      </c>
      <c r="DJ11" s="111">
        <f>DSUM(_xlnm.Database,FILESTAT!DJ$3,bfy1994_)</f>
        <v>0</v>
      </c>
      <c r="DK11" s="111">
        <f>DSUM(_xlnm.Database,FILESTAT!DK$3,bfy1994_)</f>
        <v>0</v>
      </c>
      <c r="DL11" s="111">
        <f>DSUM(_xlnm.Database,FILESTAT!DL$3,bfy1994_)</f>
        <v>0</v>
      </c>
      <c r="DM11" s="111">
        <f>DSUM(_xlnm.Database,FILESTAT!DM$3,bfy1994_)</f>
        <v>70</v>
      </c>
      <c r="DN11" s="111">
        <f>DSUM(_xlnm.Database,FILESTAT!DN$3,bfy1994_)</f>
        <v>0</v>
      </c>
      <c r="DO11" s="111">
        <f>DSUM(_xlnm.Database,FILESTAT!DO$3,bfy1994_)</f>
        <v>17</v>
      </c>
      <c r="DP11" s="111">
        <f>DSUM(_xlnm.Database,FILESTAT!DP$3,bfy1994_)</f>
        <v>0</v>
      </c>
      <c r="DQ11" s="111">
        <f>DSUM(_xlnm.Database,FILESTAT!DQ$3,bfy1994_)</f>
        <v>0</v>
      </c>
      <c r="DS11" s="111">
        <f>DSUM(_xlnm.Database,FILESTAT!DS$3,bfy1994_)</f>
        <v>0</v>
      </c>
      <c r="DT11" s="111">
        <f>DSUM(_xlnm.Database,FILESTAT!DT$3,bfy1994_)</f>
        <v>54</v>
      </c>
      <c r="DU11" s="111">
        <f>DSUM(_xlnm.Database,FILESTAT!DU$3,bfy1994_)</f>
        <v>2</v>
      </c>
      <c r="DV11" s="127">
        <f t="shared" si="0"/>
        <v>1430</v>
      </c>
      <c r="DW11" s="129" t="str">
        <f t="shared" si="1"/>
        <v/>
      </c>
    </row>
    <row r="12" spans="1:129" s="111" customFormat="1">
      <c r="A12" s="119">
        <v>1995</v>
      </c>
      <c r="B12" s="189"/>
      <c r="C12" s="110">
        <f>DSUM(_xlnm.Database,FILESTAT!C$3,bfy1995_)</f>
        <v>76</v>
      </c>
      <c r="D12" s="111">
        <f>DSUM(_xlnm.Database,FILESTAT!D$3,bfy1995_)</f>
        <v>453</v>
      </c>
      <c r="E12" s="111">
        <f>DSUM(_xlnm.Database,FILESTAT!E$3,bfy1995_)</f>
        <v>52</v>
      </c>
      <c r="F12" s="111">
        <f>DSUM(_xlnm.Database,FILESTAT!F$3,bfy1995_)</f>
        <v>18</v>
      </c>
      <c r="G12" s="111">
        <f>DSUM(_xlnm.Database,FILESTAT!G$3,bfy1995_)</f>
        <v>45</v>
      </c>
      <c r="H12" s="111">
        <f>DSUM(_xlnm.Database,FILESTAT!H$3,bfy1995_)</f>
        <v>18</v>
      </c>
      <c r="I12" s="111">
        <f>DSUM(_xlnm.Database,FILESTAT!I$3,bfy1995_)</f>
        <v>1</v>
      </c>
      <c r="J12" s="111">
        <f>DSUM(_xlnm.Database,FILESTAT!J$3,bfy1995_)</f>
        <v>104</v>
      </c>
      <c r="K12" s="111">
        <f>DSUM(_xlnm.Database,FILESTAT!K$3,bfy1995_)</f>
        <v>0</v>
      </c>
      <c r="L12" s="111">
        <f>DSUM(_xlnm.Database,FILESTAT!L$3,bfy1995_)</f>
        <v>0</v>
      </c>
      <c r="M12" s="111">
        <f>DSUM(_xlnm.Database,FILESTAT!M$3,bfy1995_)</f>
        <v>0</v>
      </c>
      <c r="N12" s="111">
        <f>DSUM(_xlnm.Database,FILESTAT!N$3,bfy1995_)</f>
        <v>0</v>
      </c>
      <c r="O12" s="111">
        <f>DSUM(_xlnm.Database,FILESTAT!O$3,bfy1995_)</f>
        <v>320</v>
      </c>
      <c r="P12" s="111">
        <f>DSUM(_xlnm.Database,FILESTAT!P$3,bfy1995_)</f>
        <v>33</v>
      </c>
      <c r="Q12" s="111">
        <f>DSUM(_xlnm.Database,FILESTAT!Q$3,bfy1995_)</f>
        <v>0</v>
      </c>
      <c r="R12" s="112">
        <f>DSUM(_xlnm.Database,FILESTAT!R$3,bfy1995_)</f>
        <v>5</v>
      </c>
      <c r="S12" s="120">
        <f>IF(SUM(C12:R12)=FILESTAT!S231,SUM(C12:R12),"PROBLEM")</f>
        <v>1125</v>
      </c>
      <c r="T12" s="110">
        <f>DSUM(_xlnm.Database,FILESTAT!T$3,bfy1995_)</f>
        <v>158</v>
      </c>
      <c r="U12" s="110">
        <f>DSUM(_xlnm.Database,FILESTAT!U$3,bfy1995_)</f>
        <v>0</v>
      </c>
      <c r="V12" s="111">
        <f>DSUM(_xlnm.Database,FILESTAT!V$3,bfy1995_)</f>
        <v>0</v>
      </c>
      <c r="W12" s="111">
        <f>DSUM(_xlnm.Database,FILESTAT!W$3,bfy1995_)</f>
        <v>56</v>
      </c>
      <c r="X12" s="112">
        <f>DSUM(_xlnm.Database,FILESTAT!X$3,bfy1995_)</f>
        <v>14</v>
      </c>
      <c r="Z12" s="110">
        <f>DSUM(_xlnm.Database,FILESTAT!Z$3,bfy1995_)</f>
        <v>11041828</v>
      </c>
      <c r="AA12" s="111">
        <f>DSUM(_xlnm.Database,FILESTAT!AA$3,bfy1995_)</f>
        <v>24861371</v>
      </c>
      <c r="AC12" s="110"/>
      <c r="AE12" s="120"/>
      <c r="AG12" s="110">
        <f>DSUM(_xlnm.Database,FILESTAT!AG$3,bfy1995_)</f>
        <v>2161</v>
      </c>
      <c r="AH12" s="111">
        <f>DSUM(_xlnm.Database,FILESTAT!AH$3,bfy1995_)</f>
        <v>764</v>
      </c>
      <c r="AI12" s="111">
        <f>DSUM(_xlnm.Database,FILESTAT!AI$3,bfy1995_)</f>
        <v>3365</v>
      </c>
      <c r="AJ12" s="112">
        <f>DSUM(_xlnm.Database,FILESTAT!AJ$3,bfy1995_)</f>
        <v>656</v>
      </c>
      <c r="AL12" s="121">
        <f>DAVERAGE(_xlnm.Database,FILESTAT!AL$3,bfy1995_)</f>
        <v>33</v>
      </c>
      <c r="AM12" s="122">
        <f>DAVERAGE(_xlnm.Database,FILESTAT!AM$3,bfy1995_)</f>
        <v>143.5</v>
      </c>
      <c r="AN12" s="120">
        <f t="shared" si="2"/>
        <v>177</v>
      </c>
      <c r="AO12" s="122">
        <f>DAVERAGE(_xlnm.Database,FILESTAT!AO$3,bfy1995_)</f>
        <v>170.5</v>
      </c>
      <c r="AP12" s="122">
        <f>DAVERAGE(_xlnm.Database,FILESTAT!AP$3,bfy1995_)</f>
        <v>23</v>
      </c>
      <c r="AQ12" s="120">
        <f t="shared" si="3"/>
        <v>194</v>
      </c>
      <c r="AR12" s="122"/>
      <c r="AS12" s="122"/>
      <c r="AT12" s="122"/>
      <c r="AU12" s="122"/>
      <c r="AV12" s="123"/>
      <c r="AW12"/>
      <c r="AX12" s="356"/>
      <c r="AY12"/>
      <c r="BA12" s="121">
        <f>ROUND(DAVERAGE(_xlnm.Database,FILESTAT!BA$3,bfy1995_),0)</f>
        <v>1595</v>
      </c>
      <c r="BB12" s="122"/>
      <c r="BC12" s="122">
        <f>DAVERAGE(_xlnm.Database,FILESTAT!BC$3,bfy1995_)</f>
        <v>18537267.199999999</v>
      </c>
      <c r="BD12" s="122"/>
      <c r="BE12" s="111">
        <f>DSUM(_xlnm.Database,FILESTAT!BE$3,bfy1995_)</f>
        <v>710</v>
      </c>
      <c r="BF12" s="111">
        <f>DSUM(_xlnm.Database,FILESTAT!BF$3,bfy1995_)</f>
        <v>81</v>
      </c>
      <c r="BG12" s="111">
        <f>DSUM(_xlnm.Database,FILESTAT!BG$3,bfy1995_)</f>
        <v>48</v>
      </c>
      <c r="BI12" s="122"/>
      <c r="BJ12" s="122"/>
      <c r="BK12" s="122"/>
      <c r="BL12" s="122"/>
      <c r="BM12" s="112">
        <f>DSUM(_xlnm.Database,FILESTAT!BM$3,bfy1995_)</f>
        <v>4087</v>
      </c>
      <c r="BO12" s="121">
        <f>FILESTAT!BO232</f>
        <v>270</v>
      </c>
      <c r="BP12" s="123">
        <f>DAVERAGE(_xlnm.Database,FILESTAT!BP$3,bfy1995_)</f>
        <v>153</v>
      </c>
      <c r="BR12" s="236"/>
      <c r="BS12" s="126"/>
      <c r="BT12" s="237"/>
      <c r="BV12" s="110">
        <f>DSUM(_xlnm.Database,FILESTAT!BV$3,bfy1995_)</f>
        <v>43</v>
      </c>
      <c r="BW12" s="111">
        <f>DSUM(_xlnm.Database,FILESTAT!BW$3,bfy1995_)</f>
        <v>13</v>
      </c>
      <c r="BX12" s="111">
        <f>DSUM(_xlnm.Database,FILESTAT!BX$3,bfy1995_)</f>
        <v>0</v>
      </c>
      <c r="BY12" s="111">
        <f>DSUM(_xlnm.Database,FILESTAT!BY$3,bfy1995_)</f>
        <v>0</v>
      </c>
      <c r="BZ12" s="111">
        <f>DSUM(_xlnm.Database,FILESTAT!BZ$3,bfy1995_)</f>
        <v>0</v>
      </c>
      <c r="CA12" s="111">
        <f>DSUM(_xlnm.Database,FILESTAT!CA$3,bfy1995_)</f>
        <v>0</v>
      </c>
      <c r="CB12" s="111">
        <f>DSUM(_xlnm.Database,FILESTAT!CB$3,bfy1995_)</f>
        <v>0</v>
      </c>
      <c r="CC12" s="289">
        <f>DSUM(_xlnm.Database,FILESTAT!CC$3,bfy1995_)</f>
        <v>0</v>
      </c>
      <c r="CD12" s="111">
        <f>DSUM(_xlnm.Database,FILESTAT!CD$3,bfy1995_)</f>
        <v>103</v>
      </c>
      <c r="CE12" s="289">
        <f>DSUM(_xlnm.Database,FILESTAT!CE$3,bfy1995_)</f>
        <v>0</v>
      </c>
      <c r="CF12" s="111">
        <f>DSUM(_xlnm.Database,FILESTAT!CF$3,bfy1995_)</f>
        <v>7</v>
      </c>
      <c r="CG12" s="111">
        <f>DSUM(_xlnm.Database,FILESTAT!CG$3,bfy1995_)</f>
        <v>2</v>
      </c>
      <c r="CH12" s="111">
        <f>DSUM(_xlnm.Database,FILESTAT!CH$3,bfy1995_)</f>
        <v>0</v>
      </c>
      <c r="CI12" s="111">
        <f>DSUM(_xlnm.Database,FILESTAT!CI$3,bfy1995_)</f>
        <v>102</v>
      </c>
      <c r="CJ12" s="111">
        <f>DSUM(_xlnm.Database,FILESTAT!CJ$3,bfy1995_)</f>
        <v>124</v>
      </c>
      <c r="CK12" s="289">
        <f>DSUM(_xlnm.Database,FILESTAT!CK$3,bfy1995_)</f>
        <v>0</v>
      </c>
      <c r="CL12" s="111">
        <f>DSUM(_xlnm.Database,FILESTAT!CL$3,bfy1995_)</f>
        <v>0</v>
      </c>
      <c r="CM12" s="111">
        <f>DSUM(_xlnm.Database,FILESTAT!CM$3,bfy1995_)</f>
        <v>38</v>
      </c>
      <c r="CN12" s="111">
        <f>DSUM(_xlnm.Database,FILESTAT!CN$3,bfy1995_)</f>
        <v>0</v>
      </c>
      <c r="CO12" s="111">
        <f>DSUM(_xlnm.Database,FILESTAT!CO$3,bfy1995_)</f>
        <v>76</v>
      </c>
      <c r="CP12" s="289">
        <f>DSUM(_xlnm.Database,FILESTAT!CP$3,bfy1995_)</f>
        <v>0</v>
      </c>
      <c r="CQ12" s="111">
        <f>DSUM(_xlnm.Database,FILESTAT!CQ$3,bfy1995_)</f>
        <v>0</v>
      </c>
      <c r="CR12" s="111">
        <f>DSUM(_xlnm.Database,FILESTAT!CR$3,bfy1995_)</f>
        <v>0</v>
      </c>
      <c r="CS12" s="111">
        <f>DSUM(_xlnm.Database,FILESTAT!CS$3,bfy1995_)</f>
        <v>32</v>
      </c>
      <c r="CT12" s="111">
        <f>DSUM(_xlnm.Database,FILESTAT!CT$3,bfy1995_)</f>
        <v>81</v>
      </c>
      <c r="CU12" s="111">
        <f>DSUM(_xlnm.Database,FILESTAT!CU$3,bfy1995_)</f>
        <v>72</v>
      </c>
      <c r="CV12" s="111">
        <f>DSUM(_xlnm.Database,FILESTAT!CV$3,bfy1995_)</f>
        <v>55</v>
      </c>
      <c r="CW12" s="111">
        <f>DSUM(_xlnm.Database,FILESTAT!CW$3,bfy1995_)</f>
        <v>0</v>
      </c>
      <c r="CX12" s="111">
        <f>DSUM(_xlnm.Database,FILESTAT!CX$3,bfy1995_)</f>
        <v>0</v>
      </c>
      <c r="CY12" s="111">
        <f>DSUM(_xlnm.Database,FILESTAT!CY$3,bfy1995_)</f>
        <v>0</v>
      </c>
      <c r="CZ12" s="111">
        <f>DSUM(_xlnm.Database,FILESTAT!CZ$3,bfy1995_)</f>
        <v>0</v>
      </c>
      <c r="DA12" s="111">
        <f>DSUM(_xlnm.Database,FILESTAT!DA$3,bfy1995_)</f>
        <v>0</v>
      </c>
      <c r="DB12" s="111">
        <f>DSUM(_xlnm.Database,FILESTAT!DB$3,bfy1995_)</f>
        <v>144</v>
      </c>
      <c r="DC12" s="111">
        <f>DSUM(_xlnm.Database,FILESTAT!DC$3,bfy1995_)</f>
        <v>0</v>
      </c>
      <c r="DD12" s="111">
        <f>DSUM(_xlnm.Database,FILESTAT!DD$3,bfy1995_)</f>
        <v>0</v>
      </c>
      <c r="DE12" s="111">
        <f>DSUM(_xlnm.Database,FILESTAT!DE$3,bfy1995_)</f>
        <v>0</v>
      </c>
      <c r="DF12" s="111">
        <f>DSUM(_xlnm.Database,FILESTAT!DF$3,bfy1995_)</f>
        <v>0</v>
      </c>
      <c r="DG12" s="111">
        <f>DSUM(_xlnm.Database,FILESTAT!DG$3,bfy1995_)</f>
        <v>32</v>
      </c>
      <c r="DH12" s="111">
        <f>DSUM(_xlnm.Database,FILESTAT!DH$3,bfy1995_)</f>
        <v>11</v>
      </c>
      <c r="DI12" s="111">
        <f>DSUM(_xlnm.Database,FILESTAT!DI$3,bfy1995_)</f>
        <v>48</v>
      </c>
      <c r="DJ12" s="111">
        <f>DSUM(_xlnm.Database,FILESTAT!DJ$3,bfy1995_)</f>
        <v>0</v>
      </c>
      <c r="DK12" s="111">
        <f>DSUM(_xlnm.Database,FILESTAT!DK$3,bfy1995_)</f>
        <v>0</v>
      </c>
      <c r="DL12" s="111">
        <f>DSUM(_xlnm.Database,FILESTAT!DL$3,bfy1995_)</f>
        <v>0</v>
      </c>
      <c r="DM12" s="111">
        <f>DSUM(_xlnm.Database,FILESTAT!DM$3,bfy1995_)</f>
        <v>63</v>
      </c>
      <c r="DN12" s="111">
        <f>DSUM(_xlnm.Database,FILESTAT!DN$3,bfy1995_)</f>
        <v>0</v>
      </c>
      <c r="DO12" s="111">
        <f>DSUM(_xlnm.Database,FILESTAT!DO$3,bfy1995_)</f>
        <v>11</v>
      </c>
      <c r="DP12" s="111">
        <f>DSUM(_xlnm.Database,FILESTAT!DP$3,bfy1995_)</f>
        <v>0</v>
      </c>
      <c r="DQ12" s="111">
        <f>DSUM(_xlnm.Database,FILESTAT!DQ$3,bfy1995_)</f>
        <v>0</v>
      </c>
      <c r="DS12" s="111">
        <f>DSUM(_xlnm.Database,FILESTAT!DS$3,bfy1995_)</f>
        <v>0</v>
      </c>
      <c r="DT12" s="111">
        <f>DSUM(_xlnm.Database,FILESTAT!DT$3,bfy1995_)</f>
        <v>63</v>
      </c>
      <c r="DU12" s="111">
        <f>DSUM(_xlnm.Database,FILESTAT!DU$3,bfy1995_)</f>
        <v>5</v>
      </c>
      <c r="DV12" s="127">
        <f t="shared" si="0"/>
        <v>1125</v>
      </c>
      <c r="DW12" s="129" t="str">
        <f t="shared" si="1"/>
        <v/>
      </c>
    </row>
    <row r="13" spans="1:129" s="111" customFormat="1">
      <c r="A13" s="119">
        <v>1996</v>
      </c>
      <c r="B13" s="189"/>
      <c r="C13" s="110">
        <f>DSUM(_xlnm.Database,FILESTAT!C$3,bfy1996_)</f>
        <v>55</v>
      </c>
      <c r="D13" s="111">
        <f>DSUM(_xlnm.Database,FILESTAT!D$3,bfy1996_)</f>
        <v>435</v>
      </c>
      <c r="E13" s="111">
        <f>DSUM(_xlnm.Database,FILESTAT!E$3,bfy1996_)</f>
        <v>21</v>
      </c>
      <c r="F13" s="111">
        <f>DSUM(_xlnm.Database,FILESTAT!F$3,bfy1996_)</f>
        <v>6</v>
      </c>
      <c r="G13" s="111">
        <f>DSUM(_xlnm.Database,FILESTAT!G$3,bfy1996_)</f>
        <v>42</v>
      </c>
      <c r="H13" s="111">
        <f>DSUM(_xlnm.Database,FILESTAT!H$3,bfy1996_)</f>
        <v>23</v>
      </c>
      <c r="I13" s="111">
        <f>DSUM(_xlnm.Database,FILESTAT!I$3,bfy1996_)</f>
        <v>0</v>
      </c>
      <c r="J13" s="111">
        <f>DSUM(_xlnm.Database,FILESTAT!J$3,bfy1996_)</f>
        <v>64</v>
      </c>
      <c r="K13" s="111">
        <f>DSUM(_xlnm.Database,FILESTAT!K$3,bfy1996_)</f>
        <v>0</v>
      </c>
      <c r="L13" s="111">
        <f>DSUM(_xlnm.Database,FILESTAT!L$3,bfy1996_)</f>
        <v>0</v>
      </c>
      <c r="M13" s="111">
        <f>DSUM(_xlnm.Database,FILESTAT!M$3,bfy1996_)</f>
        <v>0</v>
      </c>
      <c r="N13" s="111">
        <f>DSUM(_xlnm.Database,FILESTAT!N$3,bfy1996_)</f>
        <v>0</v>
      </c>
      <c r="O13" s="111">
        <f>DSUM(_xlnm.Database,FILESTAT!O$3,bfy1996_)</f>
        <v>216</v>
      </c>
      <c r="P13" s="111">
        <f>DSUM(_xlnm.Database,FILESTAT!P$3,bfy1996_)</f>
        <v>24</v>
      </c>
      <c r="Q13" s="111">
        <f>DSUM(_xlnm.Database,FILESTAT!Q$3,bfy1996_)</f>
        <v>0</v>
      </c>
      <c r="R13" s="112">
        <f>DSUM(_xlnm.Database,FILESTAT!R$3,bfy1996_)</f>
        <v>0</v>
      </c>
      <c r="S13" s="120">
        <f>IF(SUM(C13:R13)=FILESTAT!S260,SUM(C13:R13),"PROBLEM")</f>
        <v>886</v>
      </c>
      <c r="T13" s="110">
        <f>DSUM(_xlnm.Database,FILESTAT!T$3,bfy1996_)</f>
        <v>80</v>
      </c>
      <c r="U13" s="110">
        <f>DSUM(_xlnm.Database,FILESTAT!U$3,bfy1996_)</f>
        <v>0</v>
      </c>
      <c r="V13" s="111">
        <f>DSUM(_xlnm.Database,FILESTAT!V$3,bfy1996_)</f>
        <v>0</v>
      </c>
      <c r="W13" s="111">
        <f>DSUM(_xlnm.Database,FILESTAT!W$3,bfy1996_)</f>
        <v>5</v>
      </c>
      <c r="X13" s="112">
        <f>DSUM(_xlnm.Database,FILESTAT!X$3,bfy1996_)</f>
        <v>1</v>
      </c>
      <c r="Z13" s="110">
        <f>DSUM(_xlnm.Database,FILESTAT!Z$3,bfy1996_)</f>
        <v>28254657</v>
      </c>
      <c r="AA13" s="111">
        <f>DSUM(_xlnm.Database,FILESTAT!AA$3,bfy1996_)</f>
        <v>17341225</v>
      </c>
      <c r="AC13" s="110">
        <f>DSUM(_xlnm.Database,FILESTAT!AC$3,bfy1996_)</f>
        <v>16786222</v>
      </c>
      <c r="AD13" s="111">
        <f>DSUM(_xlnm.Database,FILESTAT!AD$3,bfy1996_)</f>
        <v>23305141</v>
      </c>
      <c r="AE13" s="120">
        <f t="shared" ref="AE13:AE18" si="4">SUM(AC13:AD13)</f>
        <v>40091363</v>
      </c>
      <c r="AG13" s="110">
        <f>DSUM(_xlnm.Database,FILESTAT!AG$3,bfy1996_)</f>
        <v>1554</v>
      </c>
      <c r="AH13" s="111">
        <f>DSUM(_xlnm.Database,FILESTAT!AH$3,bfy1996_)</f>
        <v>1102</v>
      </c>
      <c r="AI13" s="111">
        <f>DSUM(_xlnm.Database,FILESTAT!AI$3,bfy1996_)</f>
        <v>3090</v>
      </c>
      <c r="AJ13" s="112">
        <f>DSUM(_xlnm.Database,FILESTAT!AJ$3,bfy1996_)</f>
        <v>682</v>
      </c>
      <c r="AL13" s="121">
        <f>DAVERAGE(_xlnm.Database,FILESTAT!AL$3,bfy1996_)</f>
        <v>32</v>
      </c>
      <c r="AM13" s="122">
        <f>DAVERAGE(_xlnm.Database,FILESTAT!AM$3,bfy1996_)</f>
        <v>143.5</v>
      </c>
      <c r="AN13" s="120">
        <f t="shared" si="2"/>
        <v>176</v>
      </c>
      <c r="AO13" s="122">
        <f>DAVERAGE(_xlnm.Database,FILESTAT!AO$3,bfy1996_)</f>
        <v>174.5</v>
      </c>
      <c r="AP13" s="122">
        <f>DAVERAGE(_xlnm.Database,FILESTAT!AP$3,bfy1996_)</f>
        <v>20.5</v>
      </c>
      <c r="AQ13" s="120">
        <f t="shared" si="3"/>
        <v>195</v>
      </c>
      <c r="AR13" s="122"/>
      <c r="AS13" s="122"/>
      <c r="AT13" s="122"/>
      <c r="AU13" s="122"/>
      <c r="AV13" s="123"/>
      <c r="AW13"/>
      <c r="AX13" s="356"/>
      <c r="AY13"/>
      <c r="BA13" s="121">
        <f>ROUND(DAVERAGE(_xlnm.Database,FILESTAT!BA$3,bfy1996_),0)</f>
        <v>1614</v>
      </c>
      <c r="BB13" s="122">
        <f>DAVERAGE(_xlnm.Database,FILESTAT!BB$3,bfy1996_)</f>
        <v>27254272</v>
      </c>
      <c r="BC13" s="122">
        <f>DAVERAGE(_xlnm.Database,FILESTAT!BC$3,bfy1996_)</f>
        <v>19080471.272727273</v>
      </c>
      <c r="BD13" s="122"/>
      <c r="BE13" s="111">
        <f>DSUM(_xlnm.Database,FILESTAT!BE$3,bfy1996_)</f>
        <v>622</v>
      </c>
      <c r="BF13" s="111">
        <f>DSUM(_xlnm.Database,FILESTAT!BF$3,bfy1996_)</f>
        <v>61</v>
      </c>
      <c r="BG13" s="111">
        <f>DSUM(_xlnm.Database,FILESTAT!BG$3,bfy1996_)</f>
        <v>26</v>
      </c>
      <c r="BI13" s="122">
        <f>DAVERAGE(_xlnm.Database,FILESTAT!BI$3,bfy1996_)</f>
        <v>1625530.4</v>
      </c>
      <c r="BJ13" s="122"/>
      <c r="BK13" s="122"/>
      <c r="BL13" s="122"/>
      <c r="BM13" s="112">
        <f>DSUM(_xlnm.Database,FILESTAT!BM$3,bfy1996_)</f>
        <v>0</v>
      </c>
      <c r="BO13" s="121"/>
      <c r="BP13" s="123">
        <f>DAVERAGE(_xlnm.Database,FILESTAT!BP$3,bfy1996_)</f>
        <v>149</v>
      </c>
      <c r="BR13" s="236"/>
      <c r="BS13" s="126"/>
      <c r="BT13" s="237"/>
      <c r="BV13" s="110">
        <f>DSUM(_xlnm.Database,FILESTAT!BV$3,bfy1996_)</f>
        <v>8</v>
      </c>
      <c r="BW13" s="111">
        <f>DSUM(_xlnm.Database,FILESTAT!BW$3,bfy1996_)</f>
        <v>41</v>
      </c>
      <c r="BX13" s="111">
        <f>DSUM(_xlnm.Database,FILESTAT!BX$3,bfy1996_)</f>
        <v>0</v>
      </c>
      <c r="BY13" s="111">
        <f>DSUM(_xlnm.Database,FILESTAT!BY$3,bfy1996_)</f>
        <v>0</v>
      </c>
      <c r="BZ13" s="111">
        <f>DSUM(_xlnm.Database,FILESTAT!BZ$3,bfy1996_)</f>
        <v>0</v>
      </c>
      <c r="CA13" s="111">
        <f>DSUM(_xlnm.Database,FILESTAT!CA$3,bfy1996_)</f>
        <v>0</v>
      </c>
      <c r="CB13" s="111">
        <f>DSUM(_xlnm.Database,FILESTAT!CB$3,bfy1996_)</f>
        <v>0</v>
      </c>
      <c r="CC13" s="289">
        <f>DSUM(_xlnm.Database,FILESTAT!CC$3,bfy1996_)</f>
        <v>0</v>
      </c>
      <c r="CD13" s="111">
        <f>DSUM(_xlnm.Database,FILESTAT!CD$3,bfy1996_)</f>
        <v>50</v>
      </c>
      <c r="CE13" s="289">
        <f>DSUM(_xlnm.Database,FILESTAT!CE$3,bfy1996_)</f>
        <v>0</v>
      </c>
      <c r="CF13" s="111">
        <f>DSUM(_xlnm.Database,FILESTAT!CF$3,bfy1996_)</f>
        <v>8</v>
      </c>
      <c r="CG13" s="111">
        <f>DSUM(_xlnm.Database,FILESTAT!CG$3,bfy1996_)</f>
        <v>0</v>
      </c>
      <c r="CH13" s="111">
        <f>DSUM(_xlnm.Database,FILESTAT!CH$3,bfy1996_)</f>
        <v>0</v>
      </c>
      <c r="CI13" s="111">
        <f>DSUM(_xlnm.Database,FILESTAT!CI$3,bfy1996_)</f>
        <v>10</v>
      </c>
      <c r="CJ13" s="111">
        <f>DSUM(_xlnm.Database,FILESTAT!CJ$3,bfy1996_)</f>
        <v>68</v>
      </c>
      <c r="CK13" s="289">
        <f>DSUM(_xlnm.Database,FILESTAT!CK$3,bfy1996_)</f>
        <v>0</v>
      </c>
      <c r="CL13" s="111">
        <f>DSUM(_xlnm.Database,FILESTAT!CL$3,bfy1996_)</f>
        <v>0</v>
      </c>
      <c r="CM13" s="111">
        <f>DSUM(_xlnm.Database,FILESTAT!CM$3,bfy1996_)</f>
        <v>0</v>
      </c>
      <c r="CN13" s="111">
        <f>DSUM(_xlnm.Database,FILESTAT!CN$3,bfy1996_)</f>
        <v>0</v>
      </c>
      <c r="CO13" s="111">
        <f>DSUM(_xlnm.Database,FILESTAT!CO$3,bfy1996_)</f>
        <v>20</v>
      </c>
      <c r="CP13" s="289">
        <f>DSUM(_xlnm.Database,FILESTAT!CP$3,bfy1996_)</f>
        <v>0</v>
      </c>
      <c r="CQ13" s="111">
        <f>DSUM(_xlnm.Database,FILESTAT!CQ$3,bfy1996_)</f>
        <v>0</v>
      </c>
      <c r="CR13" s="111">
        <f>DSUM(_xlnm.Database,FILESTAT!CR$3,bfy1996_)</f>
        <v>0</v>
      </c>
      <c r="CS13" s="111">
        <f>DSUM(_xlnm.Database,FILESTAT!CS$3,bfy1996_)</f>
        <v>17</v>
      </c>
      <c r="CT13" s="111">
        <f>DSUM(_xlnm.Database,FILESTAT!CT$3,bfy1996_)</f>
        <v>86</v>
      </c>
      <c r="CU13" s="111">
        <f>DSUM(_xlnm.Database,FILESTAT!CU$3,bfy1996_)</f>
        <v>25</v>
      </c>
      <c r="CV13" s="111">
        <f>DSUM(_xlnm.Database,FILESTAT!CV$3,bfy1996_)</f>
        <v>12</v>
      </c>
      <c r="CW13" s="111">
        <f>DSUM(_xlnm.Database,FILESTAT!CW$3,bfy1996_)</f>
        <v>0</v>
      </c>
      <c r="CX13" s="111">
        <f>DSUM(_xlnm.Database,FILESTAT!CX$3,bfy1996_)</f>
        <v>0</v>
      </c>
      <c r="CY13" s="111">
        <f>DSUM(_xlnm.Database,FILESTAT!CY$3,bfy1996_)</f>
        <v>0</v>
      </c>
      <c r="CZ13" s="111">
        <f>DSUM(_xlnm.Database,FILESTAT!CZ$3,bfy1996_)</f>
        <v>0</v>
      </c>
      <c r="DA13" s="111">
        <f>DSUM(_xlnm.Database,FILESTAT!DA$3,bfy1996_)</f>
        <v>0</v>
      </c>
      <c r="DB13" s="111">
        <f>DSUM(_xlnm.Database,FILESTAT!DB$3,bfy1996_)</f>
        <v>29</v>
      </c>
      <c r="DC13" s="111">
        <f>DSUM(_xlnm.Database,FILESTAT!DC$3,bfy1996_)</f>
        <v>0</v>
      </c>
      <c r="DD13" s="111">
        <f>DSUM(_xlnm.Database,FILESTAT!DD$3,bfy1996_)</f>
        <v>0</v>
      </c>
      <c r="DE13" s="111">
        <f>DSUM(_xlnm.Database,FILESTAT!DE$3,bfy1996_)</f>
        <v>0</v>
      </c>
      <c r="DF13" s="111">
        <f>DSUM(_xlnm.Database,FILESTAT!DF$3,bfy1996_)</f>
        <v>0</v>
      </c>
      <c r="DG13" s="111">
        <f>DSUM(_xlnm.Database,FILESTAT!DG$3,bfy1996_)</f>
        <v>14</v>
      </c>
      <c r="DH13" s="111">
        <f>DSUM(_xlnm.Database,FILESTAT!DH$3,bfy1996_)</f>
        <v>3</v>
      </c>
      <c r="DI13" s="111">
        <f>DSUM(_xlnm.Database,FILESTAT!DI$3,bfy1996_)</f>
        <v>4</v>
      </c>
      <c r="DJ13" s="111">
        <f>DSUM(_xlnm.Database,FILESTAT!DJ$3,bfy1996_)</f>
        <v>0</v>
      </c>
      <c r="DK13" s="111">
        <f>DSUM(_xlnm.Database,FILESTAT!DK$3,bfy1996_)</f>
        <v>0</v>
      </c>
      <c r="DL13" s="111">
        <f>DSUM(_xlnm.Database,FILESTAT!DL$3,bfy1996_)</f>
        <v>0</v>
      </c>
      <c r="DM13" s="111">
        <f>DSUM(_xlnm.Database,FILESTAT!DM$3,bfy1996_)</f>
        <v>31</v>
      </c>
      <c r="DN13" s="111">
        <f>DSUM(_xlnm.Database,FILESTAT!DN$3,bfy1996_)</f>
        <v>0</v>
      </c>
      <c r="DO13" s="111">
        <f>DSUM(_xlnm.Database,FILESTAT!DO$3,bfy1996_)</f>
        <v>13</v>
      </c>
      <c r="DP13" s="111">
        <f>DSUM(_xlnm.Database,FILESTAT!DP$3,bfy1996_)</f>
        <v>0</v>
      </c>
      <c r="DQ13" s="111">
        <f>DSUM(_xlnm.Database,FILESTAT!DQ$3,bfy1996_)</f>
        <v>0</v>
      </c>
      <c r="DS13" s="111">
        <f>DSUM(_xlnm.Database,FILESTAT!DS$3,bfy1996_)</f>
        <v>0</v>
      </c>
      <c r="DT13" s="111">
        <f>DSUM(_xlnm.Database,FILESTAT!DT$3,bfy1996_)</f>
        <v>44</v>
      </c>
      <c r="DU13" s="111">
        <f>DSUM(_xlnm.Database,FILESTAT!DU$3,bfy1996_)</f>
        <v>0</v>
      </c>
      <c r="DV13" s="127">
        <f t="shared" si="0"/>
        <v>483</v>
      </c>
      <c r="DW13" s="129" t="str">
        <f t="shared" si="1"/>
        <v>PROB</v>
      </c>
    </row>
    <row r="14" spans="1:129" s="111" customFormat="1">
      <c r="A14" s="119">
        <v>1997</v>
      </c>
      <c r="B14" s="189"/>
      <c r="C14" s="110">
        <f>DSUM(_xlnm.Database,FILESTAT!C$3,bfy1997_)</f>
        <v>78</v>
      </c>
      <c r="D14" s="111">
        <f>DSUM(_xlnm.Database,FILESTAT!D$3,bfy1997_)</f>
        <v>468</v>
      </c>
      <c r="E14" s="111">
        <f>DSUM(_xlnm.Database,FILESTAT!E$3,bfy1997_)</f>
        <v>74</v>
      </c>
      <c r="F14" s="111">
        <f>DSUM(_xlnm.Database,FILESTAT!F$3,bfy1997_)</f>
        <v>11</v>
      </c>
      <c r="G14" s="111">
        <f>DSUM(_xlnm.Database,FILESTAT!G$3,bfy1997_)</f>
        <v>52</v>
      </c>
      <c r="H14" s="111">
        <f>DSUM(_xlnm.Database,FILESTAT!H$3,bfy1997_)</f>
        <v>27</v>
      </c>
      <c r="I14" s="111">
        <f>DSUM(_xlnm.Database,FILESTAT!I$3,bfy1997_)</f>
        <v>2</v>
      </c>
      <c r="J14" s="111">
        <f>DSUM(_xlnm.Database,FILESTAT!J$3,bfy1997_)</f>
        <v>418</v>
      </c>
      <c r="K14" s="111">
        <f>DSUM(_xlnm.Database,FILESTAT!K$3,bfy1997_)</f>
        <v>3</v>
      </c>
      <c r="L14" s="111">
        <f>DSUM(_xlnm.Database,FILESTAT!L$3,bfy1997_)</f>
        <v>7</v>
      </c>
      <c r="M14" s="111">
        <f>DSUM(_xlnm.Database,FILESTAT!M$3,bfy1997_)</f>
        <v>0</v>
      </c>
      <c r="N14" s="111">
        <f>DSUM(_xlnm.Database,FILESTAT!N$3,bfy1997_)</f>
        <v>0</v>
      </c>
      <c r="O14" s="111">
        <f>DSUM(_xlnm.Database,FILESTAT!O$3,bfy1997_)</f>
        <v>361</v>
      </c>
      <c r="P14" s="111">
        <f>DSUM(_xlnm.Database,FILESTAT!P$3,bfy1997_)</f>
        <v>20</v>
      </c>
      <c r="Q14" s="111">
        <f>DSUM(_xlnm.Database,FILESTAT!Q$3,bfy1997_)</f>
        <v>4</v>
      </c>
      <c r="R14" s="112">
        <f>DSUM(_xlnm.Database,FILESTAT!R$3,bfy1997_)</f>
        <v>0</v>
      </c>
      <c r="S14" s="120">
        <f>IF(SUM(C14:R14)=FILESTAT!S289,SUM(C14:R14),"PROBLEM")</f>
        <v>1525</v>
      </c>
      <c r="T14" s="110">
        <f>DSUM(_xlnm.Database,FILESTAT!T$3,bfy1997_)</f>
        <v>110</v>
      </c>
      <c r="U14" s="110">
        <f>DSUM(_xlnm.Database,FILESTAT!U$3,bfy1997_)</f>
        <v>0</v>
      </c>
      <c r="V14" s="111">
        <f>DSUM(_xlnm.Database,FILESTAT!V$3,bfy1997_)</f>
        <v>0</v>
      </c>
      <c r="W14" s="111">
        <f>DSUM(_xlnm.Database,FILESTAT!W$3,bfy1997_)</f>
        <v>20</v>
      </c>
      <c r="X14" s="112">
        <f>DSUM(_xlnm.Database,FILESTAT!X$3,bfy1997_)</f>
        <v>15</v>
      </c>
      <c r="Z14" s="110">
        <f>DSUM(_xlnm.Database,FILESTAT!Z$3,bfy1997_)</f>
        <v>30770174</v>
      </c>
      <c r="AA14" s="111">
        <f>DSUM(_xlnm.Database,FILESTAT!AA$3,bfy1997_)</f>
        <v>26881959</v>
      </c>
      <c r="AC14" s="110">
        <f>DSUM(_xlnm.Database,FILESTAT!AC$3,bfy1997_)</f>
        <v>18984335</v>
      </c>
      <c r="AD14" s="111">
        <f>DSUM(_xlnm.Database,FILESTAT!AD$3,bfy1997_)</f>
        <v>35220333</v>
      </c>
      <c r="AE14" s="120">
        <f t="shared" si="4"/>
        <v>54204668</v>
      </c>
      <c r="AG14" s="110">
        <f>DSUM(_xlnm.Database,FILESTAT!AG$3,bfy1997_)</f>
        <v>2146</v>
      </c>
      <c r="AH14" s="111">
        <f>DSUM(_xlnm.Database,FILESTAT!AH$3,bfy1997_)</f>
        <v>907</v>
      </c>
      <c r="AI14" s="111">
        <f>DSUM(_xlnm.Database,FILESTAT!AI$3,bfy1997_)</f>
        <v>3460</v>
      </c>
      <c r="AJ14" s="112">
        <f>DSUM(_xlnm.Database,FILESTAT!AJ$3,bfy1997_)</f>
        <v>1088</v>
      </c>
      <c r="AL14" s="121">
        <f>DAVERAGE(_xlnm.Database,FILESTAT!AL$3,bfy1997_)</f>
        <v>31.75</v>
      </c>
      <c r="AM14" s="122">
        <f>DAVERAGE(_xlnm.Database,FILESTAT!AM$3,bfy1997_)</f>
        <v>125</v>
      </c>
      <c r="AN14" s="120">
        <f t="shared" si="2"/>
        <v>157</v>
      </c>
      <c r="AO14" s="122">
        <f>DAVERAGE(_xlnm.Database,FILESTAT!AO$3,bfy1997_)</f>
        <v>168</v>
      </c>
      <c r="AP14" s="122">
        <f>DAVERAGE(_xlnm.Database,FILESTAT!AP$3,bfy1997_)</f>
        <v>19</v>
      </c>
      <c r="AQ14" s="120">
        <f t="shared" si="3"/>
        <v>187</v>
      </c>
      <c r="AR14" s="122"/>
      <c r="AS14" s="122"/>
      <c r="AT14" s="122"/>
      <c r="AU14" s="122"/>
      <c r="AV14" s="123"/>
      <c r="AW14"/>
      <c r="AX14" s="356"/>
      <c r="AY14"/>
      <c r="BA14" s="121">
        <f>ROUND(DAVERAGE(_xlnm.Database,FILESTAT!BA$3,bfy1997_),0)</f>
        <v>1625</v>
      </c>
      <c r="BB14" s="122">
        <f>DAVERAGE(_xlnm.Database,FILESTAT!BB$3,bfy1997_)</f>
        <v>27240683.5</v>
      </c>
      <c r="BC14" s="122">
        <f>DAVERAGE(_xlnm.Database,FILESTAT!BC$3,bfy1997_)</f>
        <v>19264853.333333332</v>
      </c>
      <c r="BD14" s="122"/>
      <c r="BE14" s="111">
        <f>DSUM(_xlnm.Database,FILESTAT!BE$3,bfy1997_)</f>
        <v>939</v>
      </c>
      <c r="BF14" s="111">
        <f>DSUM(_xlnm.Database,FILESTAT!BF$3,bfy1997_)</f>
        <v>49</v>
      </c>
      <c r="BG14" s="111">
        <f>DSUM(_xlnm.Database,FILESTAT!BG$3,bfy1997_)</f>
        <v>56</v>
      </c>
      <c r="BI14" s="122">
        <f>DAVERAGE(_xlnm.Database,FILESTAT!BI$3,bfy1997_)</f>
        <v>2082257.9166666667</v>
      </c>
      <c r="BJ14" s="122"/>
      <c r="BK14" s="122"/>
      <c r="BL14" s="122"/>
      <c r="BM14" s="112">
        <f>DSUM(_xlnm.Database,FILESTAT!BM$3,bfy1997_)</f>
        <v>0</v>
      </c>
      <c r="BO14" s="121"/>
      <c r="BP14" s="123">
        <f>DAVERAGE(_xlnm.Database,FILESTAT!BP$3,bfy1997_)</f>
        <v>148.90909090909091</v>
      </c>
      <c r="BR14" s="236"/>
      <c r="BS14" s="126"/>
      <c r="BT14" s="237"/>
      <c r="BV14" s="110">
        <f>DSUM(_xlnm.Database,FILESTAT!BV$3,bfy1997_)</f>
        <v>0</v>
      </c>
      <c r="BW14" s="111">
        <f>DSUM(_xlnm.Database,FILESTAT!BW$3,bfy1997_)</f>
        <v>0</v>
      </c>
      <c r="BX14" s="111">
        <f>DSUM(_xlnm.Database,FILESTAT!BX$3,bfy1997_)</f>
        <v>0</v>
      </c>
      <c r="BY14" s="111">
        <f>DSUM(_xlnm.Database,FILESTAT!BY$3,bfy1997_)</f>
        <v>0</v>
      </c>
      <c r="BZ14" s="111">
        <f>DSUM(_xlnm.Database,FILESTAT!BZ$3,bfy1997_)</f>
        <v>0</v>
      </c>
      <c r="CA14" s="111">
        <f>DSUM(_xlnm.Database,FILESTAT!CA$3,bfy1997_)</f>
        <v>0</v>
      </c>
      <c r="CB14" s="111">
        <f>DSUM(_xlnm.Database,FILESTAT!CB$3,bfy1997_)</f>
        <v>0</v>
      </c>
      <c r="CC14" s="289">
        <f>DSUM(_xlnm.Database,FILESTAT!CC$3,bfy1997_)</f>
        <v>0</v>
      </c>
      <c r="CD14" s="111">
        <f>DSUM(_xlnm.Database,FILESTAT!CD$3,bfy1997_)</f>
        <v>0</v>
      </c>
      <c r="CE14" s="289">
        <f>DSUM(_xlnm.Database,FILESTAT!CE$3,bfy1997_)</f>
        <v>0</v>
      </c>
      <c r="CF14" s="111">
        <f>DSUM(_xlnm.Database,FILESTAT!CF$3,bfy1997_)</f>
        <v>0</v>
      </c>
      <c r="CG14" s="111">
        <f>DSUM(_xlnm.Database,FILESTAT!CG$3,bfy1997_)</f>
        <v>0</v>
      </c>
      <c r="CH14" s="111">
        <f>DSUM(_xlnm.Database,FILESTAT!CH$3,bfy1997_)</f>
        <v>0</v>
      </c>
      <c r="CI14" s="111">
        <f>DSUM(_xlnm.Database,FILESTAT!CI$3,bfy1997_)</f>
        <v>0</v>
      </c>
      <c r="CJ14" s="111">
        <f>DSUM(_xlnm.Database,FILESTAT!CJ$3,bfy1997_)</f>
        <v>0</v>
      </c>
      <c r="CK14" s="289">
        <f>DSUM(_xlnm.Database,FILESTAT!CK$3,bfy1997_)</f>
        <v>0</v>
      </c>
      <c r="CL14" s="111">
        <f>DSUM(_xlnm.Database,FILESTAT!CL$3,bfy1997_)</f>
        <v>0</v>
      </c>
      <c r="CM14" s="111">
        <f>DSUM(_xlnm.Database,FILESTAT!CM$3,bfy1997_)</f>
        <v>0</v>
      </c>
      <c r="CN14" s="111">
        <f>DSUM(_xlnm.Database,FILESTAT!CN$3,bfy1997_)</f>
        <v>0</v>
      </c>
      <c r="CO14" s="111">
        <f>DSUM(_xlnm.Database,FILESTAT!CO$3,bfy1997_)</f>
        <v>0</v>
      </c>
      <c r="CP14" s="289">
        <f>DSUM(_xlnm.Database,FILESTAT!CP$3,bfy1997_)</f>
        <v>0</v>
      </c>
      <c r="CQ14" s="111">
        <f>DSUM(_xlnm.Database,FILESTAT!CQ$3,bfy1997_)</f>
        <v>0</v>
      </c>
      <c r="CR14" s="111">
        <f>DSUM(_xlnm.Database,FILESTAT!CR$3,bfy1997_)</f>
        <v>0</v>
      </c>
      <c r="CS14" s="111">
        <f>DSUM(_xlnm.Database,FILESTAT!CS$3,bfy1997_)</f>
        <v>0</v>
      </c>
      <c r="CT14" s="111">
        <f>DSUM(_xlnm.Database,FILESTAT!CT$3,bfy1997_)</f>
        <v>0</v>
      </c>
      <c r="CU14" s="289">
        <f>DSUM(_xlnm.Database,FILESTAT!CU$3,bfy1997_)</f>
        <v>0</v>
      </c>
      <c r="CV14" s="111">
        <f>DSUM(_xlnm.Database,FILESTAT!CV$3,bfy1997_)</f>
        <v>0</v>
      </c>
      <c r="CW14" s="111">
        <f>DSUM(_xlnm.Database,FILESTAT!CW$3,bfy1997_)</f>
        <v>0</v>
      </c>
      <c r="CX14" s="111">
        <f>DSUM(_xlnm.Database,FILESTAT!CX$3,bfy1997_)</f>
        <v>0</v>
      </c>
      <c r="CY14" s="111">
        <f>DSUM(_xlnm.Database,FILESTAT!CY$3,bfy1997_)</f>
        <v>0</v>
      </c>
      <c r="CZ14" s="111">
        <f>DSUM(_xlnm.Database,FILESTAT!CZ$3,bfy1997_)</f>
        <v>0</v>
      </c>
      <c r="DA14" s="111">
        <f>DSUM(_xlnm.Database,FILESTAT!DA$3,bfy1997_)</f>
        <v>0</v>
      </c>
      <c r="DB14" s="111">
        <f>DSUM(_xlnm.Database,FILESTAT!DB$3,bfy1997_)</f>
        <v>0</v>
      </c>
      <c r="DC14" s="111">
        <f>DSUM(_xlnm.Database,FILESTAT!DC$3,bfy1997_)</f>
        <v>0</v>
      </c>
      <c r="DD14" s="111">
        <f>DSUM(_xlnm.Database,FILESTAT!DD$3,bfy1997_)</f>
        <v>0</v>
      </c>
      <c r="DE14" s="111">
        <f>DSUM(_xlnm.Database,FILESTAT!DE$3,bfy1997_)</f>
        <v>0</v>
      </c>
      <c r="DF14" s="111">
        <f>DSUM(_xlnm.Database,FILESTAT!DF$3,bfy1997_)</f>
        <v>0</v>
      </c>
      <c r="DG14" s="111">
        <f>DSUM(_xlnm.Database,FILESTAT!DG$3,bfy1997_)</f>
        <v>0</v>
      </c>
      <c r="DH14" s="111">
        <f>DSUM(_xlnm.Database,FILESTAT!DH$3,bfy1997_)</f>
        <v>0</v>
      </c>
      <c r="DI14" s="111">
        <f>DSUM(_xlnm.Database,FILESTAT!DI$3,bfy1997_)</f>
        <v>0</v>
      </c>
      <c r="DJ14" s="111">
        <f>DSUM(_xlnm.Database,FILESTAT!DJ$3,bfy1997_)</f>
        <v>0</v>
      </c>
      <c r="DK14" s="111">
        <f>DSUM(_xlnm.Database,FILESTAT!DK$3,bfy1997_)</f>
        <v>0</v>
      </c>
      <c r="DL14" s="111">
        <f>DSUM(_xlnm.Database,FILESTAT!DL$3,bfy1997_)</f>
        <v>0</v>
      </c>
      <c r="DM14" s="111">
        <f>DSUM(_xlnm.Database,FILESTAT!DM$3,bfy1997_)</f>
        <v>0</v>
      </c>
      <c r="DN14" s="111">
        <f>DSUM(_xlnm.Database,FILESTAT!DN$3,bfy1997_)</f>
        <v>0</v>
      </c>
      <c r="DO14" s="111">
        <f>DSUM(_xlnm.Database,FILESTAT!DO$3,bfy1997_)</f>
        <v>0</v>
      </c>
      <c r="DP14" s="111">
        <f>DSUM(_xlnm.Database,FILESTAT!DP$3,bfy1997_)</f>
        <v>0</v>
      </c>
      <c r="DQ14" s="111">
        <f>DSUM(_xlnm.Database,FILESTAT!DQ$3,bfy1997_)</f>
        <v>0</v>
      </c>
      <c r="DS14" s="111">
        <f>DSUM(_xlnm.Database,FILESTAT!DS$3,bfy1997_)</f>
        <v>0</v>
      </c>
      <c r="DT14" s="111">
        <f>DSUM(_xlnm.Database,FILESTAT!DT$3,bfy1997_)</f>
        <v>0</v>
      </c>
      <c r="DU14" s="111">
        <f>DSUM(_xlnm.Database,FILESTAT!DU$3,bfy1997_)</f>
        <v>0</v>
      </c>
      <c r="DV14" s="127">
        <f t="shared" si="0"/>
        <v>0</v>
      </c>
      <c r="DW14" s="129" t="str">
        <f t="shared" si="1"/>
        <v>PROB</v>
      </c>
    </row>
    <row r="15" spans="1:129" s="111" customFormat="1">
      <c r="A15" s="119">
        <v>1998</v>
      </c>
      <c r="B15" s="189"/>
      <c r="C15" s="110">
        <f>DSUM(_xlnm.Database,FILESTAT!C$3,bfy1998_)</f>
        <v>114</v>
      </c>
      <c r="D15" s="111">
        <f>DSUM(_xlnm.Database,FILESTAT!D$3,bfy1998_)</f>
        <v>494</v>
      </c>
      <c r="E15" s="111">
        <f>DSUM(_xlnm.Database,FILESTAT!E$3,bfy1998_)</f>
        <v>80</v>
      </c>
      <c r="F15" s="111">
        <f>DSUM(_xlnm.Database,FILESTAT!F$3,bfy1998_)</f>
        <v>18</v>
      </c>
      <c r="G15" s="111">
        <f>DSUM(_xlnm.Database,FILESTAT!G$3,bfy1998_)</f>
        <v>47</v>
      </c>
      <c r="H15" s="111">
        <f>DSUM(_xlnm.Database,FILESTAT!H$3,bfy1998_)</f>
        <v>48</v>
      </c>
      <c r="I15" s="111">
        <f>DSUM(_xlnm.Database,FILESTAT!I$3,bfy1998_)</f>
        <v>0</v>
      </c>
      <c r="J15" s="111">
        <f>DSUM(_xlnm.Database,FILESTAT!J$3,bfy1998_)</f>
        <v>676</v>
      </c>
      <c r="K15" s="111">
        <f>DSUM(_xlnm.Database,FILESTAT!K$3,bfy1998_)</f>
        <v>21</v>
      </c>
      <c r="L15" s="111">
        <f>DSUM(_xlnm.Database,FILESTAT!L$3,bfy1998_)</f>
        <v>35</v>
      </c>
      <c r="M15" s="111">
        <f>DSUM(_xlnm.Database,FILESTAT!M$3,bfy1998_)</f>
        <v>0</v>
      </c>
      <c r="N15" s="111">
        <f>DSUM(_xlnm.Database,FILESTAT!N$3,bfy1998_)</f>
        <v>0</v>
      </c>
      <c r="O15" s="111">
        <f>DSUM(_xlnm.Database,FILESTAT!O$3,bfy1998_)</f>
        <v>371</v>
      </c>
      <c r="P15" s="111">
        <f>DSUM(_xlnm.Database,FILESTAT!P$3,bfy1998_)</f>
        <v>21</v>
      </c>
      <c r="Q15" s="111">
        <f>DSUM(_xlnm.Database,FILESTAT!Q$3,bfy1998_)</f>
        <v>5</v>
      </c>
      <c r="R15" s="112">
        <f>DSUM(_xlnm.Database,FILESTAT!R$3,bfy1998_)</f>
        <v>2</v>
      </c>
      <c r="S15" s="120">
        <f>IF(SUM(C15:R15)=FILESTAT!S318,SUM(C15:R15),"PROBLEM")</f>
        <v>1932</v>
      </c>
      <c r="T15" s="110">
        <f>DSUM(_xlnm.Database,FILESTAT!T$3,bfy1998_)</f>
        <v>10</v>
      </c>
      <c r="U15" s="110">
        <f>DSUM(_xlnm.Database,FILESTAT!U$3,bfy1998_)</f>
        <v>171</v>
      </c>
      <c r="V15" s="111">
        <f>DSUM(_xlnm.Database,FILESTAT!V$3,bfy1998_)</f>
        <v>0</v>
      </c>
      <c r="W15" s="111">
        <f>DSUM(_xlnm.Database,FILESTAT!W$3,bfy1998_)</f>
        <v>41</v>
      </c>
      <c r="X15" s="112">
        <f>DSUM(_xlnm.Database,FILESTAT!X$3,bfy1998_)</f>
        <v>17</v>
      </c>
      <c r="Z15" s="110">
        <f>DSUM(_xlnm.Database,FILESTAT!Z$3,bfy1998_)</f>
        <v>27469976</v>
      </c>
      <c r="AA15" s="111">
        <f>DSUM(_xlnm.Database,FILESTAT!AA$3,bfy1998_)</f>
        <v>47762042</v>
      </c>
      <c r="AC15" s="110">
        <f>DSUM(_xlnm.Database,FILESTAT!AC$3,bfy1998_)</f>
        <v>22379175</v>
      </c>
      <c r="AD15" s="111">
        <f>DSUM(_xlnm.Database,FILESTAT!AD$3,bfy1998_)</f>
        <v>48860910</v>
      </c>
      <c r="AE15" s="120">
        <f t="shared" si="4"/>
        <v>71240085</v>
      </c>
      <c r="AG15" s="110">
        <f>DSUM(_xlnm.Database,FILESTAT!AG$3,bfy1998_)</f>
        <v>2725</v>
      </c>
      <c r="AH15" s="111">
        <f>DSUM(_xlnm.Database,FILESTAT!AH$3,bfy1998_)</f>
        <v>455</v>
      </c>
      <c r="AI15" s="111">
        <f>DSUM(_xlnm.Database,FILESTAT!AI$3,bfy1998_)</f>
        <v>3582</v>
      </c>
      <c r="AJ15" s="112">
        <f>DSUM(_xlnm.Database,FILESTAT!AJ$3,bfy1998_)</f>
        <v>876</v>
      </c>
      <c r="AL15" s="121">
        <f>DAVERAGE(_xlnm.Database,FILESTAT!AL$3,bfy1998_)</f>
        <v>33.5</v>
      </c>
      <c r="AM15" s="122">
        <f>DAVERAGE(_xlnm.Database,FILESTAT!AM$3,bfy1998_)</f>
        <v>114</v>
      </c>
      <c r="AN15" s="120">
        <f t="shared" si="2"/>
        <v>148</v>
      </c>
      <c r="AO15" s="122">
        <f>DAVERAGE(_xlnm.Database,FILESTAT!AO$3,bfy1998_)</f>
        <v>139.5</v>
      </c>
      <c r="AP15" s="122">
        <f>DAVERAGE(_xlnm.Database,FILESTAT!AP$3,bfy1998_)</f>
        <v>15.5</v>
      </c>
      <c r="AQ15" s="120">
        <f t="shared" si="3"/>
        <v>155</v>
      </c>
      <c r="AR15" s="122"/>
      <c r="AS15" s="122"/>
      <c r="AT15" s="122"/>
      <c r="AU15" s="122"/>
      <c r="AV15" s="123"/>
      <c r="AW15"/>
      <c r="AX15" s="356"/>
      <c r="AY15"/>
      <c r="BA15" s="121">
        <f>ROUND(DAVERAGE(_xlnm.Database,FILESTAT!BA$3,bfy1998_),0)</f>
        <v>1606</v>
      </c>
      <c r="BB15" s="122">
        <f>DAVERAGE(_xlnm.Database,FILESTAT!BB$3,bfy1998_)</f>
        <v>27496161.333333332</v>
      </c>
      <c r="BC15" s="122">
        <f>DAVERAGE(_xlnm.Database,FILESTAT!BC$3,bfy1998_)</f>
        <v>19375569.454545453</v>
      </c>
      <c r="BD15" s="122"/>
      <c r="BE15" s="111">
        <f>DSUM(_xlnm.Database,FILESTAT!BE$3,bfy1998_)</f>
        <v>1574</v>
      </c>
      <c r="BF15" s="111">
        <f>DSUM(_xlnm.Database,FILESTAT!BF$3,bfy1998_)</f>
        <v>95</v>
      </c>
      <c r="BG15" s="111">
        <f>DSUM(_xlnm.Database,FILESTAT!BG$3,bfy1998_)</f>
        <v>87</v>
      </c>
      <c r="BI15" s="122">
        <f>DAVERAGE(_xlnm.Database,FILESTAT!BI$3,bfy1998_)</f>
        <v>3228633.9166666665</v>
      </c>
      <c r="BJ15" s="122"/>
      <c r="BK15" s="122"/>
      <c r="BL15" s="122"/>
      <c r="BM15" s="112">
        <f>DSUM(_xlnm.Database,FILESTAT!BM$3,bfy1998_)</f>
        <v>0</v>
      </c>
      <c r="BO15" s="121"/>
      <c r="BP15" s="123">
        <f>DAVERAGE(_xlnm.Database,FILESTAT!BP$3,bfy1998_)</f>
        <v>149.83333333333334</v>
      </c>
      <c r="BR15" s="236"/>
      <c r="BS15" s="126"/>
      <c r="BT15" s="237"/>
      <c r="BV15" s="110">
        <f>DSUM(_xlnm.Database,FILESTAT!BV$3,bfy1998_)</f>
        <v>0</v>
      </c>
      <c r="BW15" s="111">
        <f>DSUM(_xlnm.Database,FILESTAT!BW$3,bfy1998_)</f>
        <v>0</v>
      </c>
      <c r="BX15" s="111">
        <f>DSUM(_xlnm.Database,FILESTAT!BX$3,bfy1998_)</f>
        <v>0</v>
      </c>
      <c r="BY15" s="111">
        <f>DSUM(_xlnm.Database,FILESTAT!BY$3,bfy1998_)</f>
        <v>0</v>
      </c>
      <c r="BZ15" s="111">
        <f>DSUM(_xlnm.Database,FILESTAT!BZ$3,bfy1998_)</f>
        <v>0</v>
      </c>
      <c r="CA15" s="111">
        <f>DSUM(_xlnm.Database,FILESTAT!CA$3,bfy1998_)</f>
        <v>0</v>
      </c>
      <c r="CB15" s="111">
        <f>DSUM(_xlnm.Database,FILESTAT!CB$3,bfy1998_)</f>
        <v>0</v>
      </c>
      <c r="CC15" s="289">
        <f>DSUM(_xlnm.Database,FILESTAT!CC$3,bfy1998_)</f>
        <v>0</v>
      </c>
      <c r="CD15" s="111">
        <f>DSUM(_xlnm.Database,FILESTAT!CD$3,bfy1998_)</f>
        <v>0</v>
      </c>
      <c r="CE15" s="289">
        <f>DSUM(_xlnm.Database,FILESTAT!CE$3,bfy1998_)</f>
        <v>0</v>
      </c>
      <c r="CF15" s="111">
        <f>DSUM(_xlnm.Database,FILESTAT!CF$3,bfy1998_)</f>
        <v>0</v>
      </c>
      <c r="CG15" s="111">
        <f>DSUM(_xlnm.Database,FILESTAT!CG$3,bfy1998_)</f>
        <v>0</v>
      </c>
      <c r="CH15" s="111">
        <f>DSUM(_xlnm.Database,FILESTAT!CH$3,bfy1998_)</f>
        <v>0</v>
      </c>
      <c r="CI15" s="111">
        <f>DSUM(_xlnm.Database,FILESTAT!CI$3,bfy1998_)</f>
        <v>0</v>
      </c>
      <c r="CJ15" s="111">
        <f>DSUM(_xlnm.Database,FILESTAT!CJ$3,bfy1998_)</f>
        <v>0</v>
      </c>
      <c r="CK15" s="289">
        <f>DSUM(_xlnm.Database,FILESTAT!CK$3,bfy1998_)</f>
        <v>0</v>
      </c>
      <c r="CL15" s="111">
        <f>DSUM(_xlnm.Database,FILESTAT!CL$3,bfy1998_)</f>
        <v>0</v>
      </c>
      <c r="CM15" s="111">
        <f>DSUM(_xlnm.Database,FILESTAT!CM$3,bfy1998_)</f>
        <v>0</v>
      </c>
      <c r="CN15" s="111">
        <f>DSUM(_xlnm.Database,FILESTAT!CN$3,bfy1998_)</f>
        <v>0</v>
      </c>
      <c r="CO15" s="111">
        <f>DSUM(_xlnm.Database,FILESTAT!CO$3,bfy1998_)</f>
        <v>0</v>
      </c>
      <c r="CP15" s="289">
        <f>DSUM(_xlnm.Database,FILESTAT!CP$3,bfy1998_)</f>
        <v>0</v>
      </c>
      <c r="CQ15" s="111">
        <f>DSUM(_xlnm.Database,FILESTAT!CQ$3,bfy1998_)</f>
        <v>0</v>
      </c>
      <c r="CR15" s="111">
        <f>DSUM(_xlnm.Database,FILESTAT!CR$3,bfy1998_)</f>
        <v>0</v>
      </c>
      <c r="CS15" s="111">
        <f>DSUM(_xlnm.Database,FILESTAT!CS$3,bfy1998_)</f>
        <v>0</v>
      </c>
      <c r="CT15" s="111">
        <f>DSUM(_xlnm.Database,FILESTAT!CT$3,bfy1998_)</f>
        <v>0</v>
      </c>
      <c r="CU15" s="289">
        <f>DSUM(_xlnm.Database,FILESTAT!CU$3,bfy1998_)</f>
        <v>0</v>
      </c>
      <c r="CV15" s="111">
        <f>DSUM(_xlnm.Database,FILESTAT!CV$3,bfy1998_)</f>
        <v>0</v>
      </c>
      <c r="CW15" s="111">
        <f>DSUM(_xlnm.Database,FILESTAT!CW$3,bfy1998_)</f>
        <v>0</v>
      </c>
      <c r="CX15" s="111">
        <f>DSUM(_xlnm.Database,FILESTAT!CX$3,bfy1998_)</f>
        <v>0</v>
      </c>
      <c r="CY15" s="111">
        <f>DSUM(_xlnm.Database,FILESTAT!CY$3,bfy1998_)</f>
        <v>0</v>
      </c>
      <c r="CZ15" s="111">
        <f>DSUM(_xlnm.Database,FILESTAT!CZ$3,bfy1998_)</f>
        <v>0</v>
      </c>
      <c r="DA15" s="111">
        <f>DSUM(_xlnm.Database,FILESTAT!DA$3,bfy1998_)</f>
        <v>0</v>
      </c>
      <c r="DB15" s="111">
        <f>DSUM(_xlnm.Database,FILESTAT!DB$3,bfy1998_)</f>
        <v>0</v>
      </c>
      <c r="DC15" s="111">
        <f>DSUM(_xlnm.Database,FILESTAT!DC$3,bfy1998_)</f>
        <v>0</v>
      </c>
      <c r="DD15" s="111">
        <f>DSUM(_xlnm.Database,FILESTAT!DD$3,bfy1998_)</f>
        <v>0</v>
      </c>
      <c r="DE15" s="111">
        <f>DSUM(_xlnm.Database,FILESTAT!DE$3,bfy1998_)</f>
        <v>0</v>
      </c>
      <c r="DF15" s="111">
        <f>DSUM(_xlnm.Database,FILESTAT!DF$3,bfy1998_)</f>
        <v>0</v>
      </c>
      <c r="DG15" s="111">
        <f>DSUM(_xlnm.Database,FILESTAT!DG$3,bfy1998_)</f>
        <v>0</v>
      </c>
      <c r="DH15" s="111">
        <f>DSUM(_xlnm.Database,FILESTAT!DH$3,bfy1998_)</f>
        <v>0</v>
      </c>
      <c r="DI15" s="111">
        <f>DSUM(_xlnm.Database,FILESTAT!DI$3,bfy1998_)</f>
        <v>0</v>
      </c>
      <c r="DJ15" s="111">
        <f>DSUM(_xlnm.Database,FILESTAT!DJ$3,bfy1998_)</f>
        <v>0</v>
      </c>
      <c r="DK15" s="111">
        <f>DSUM(_xlnm.Database,FILESTAT!DK$3,bfy1998_)</f>
        <v>0</v>
      </c>
      <c r="DL15" s="111">
        <f>DSUM(_xlnm.Database,FILESTAT!DL$3,bfy1998_)</f>
        <v>0</v>
      </c>
      <c r="DM15" s="111">
        <f>DSUM(_xlnm.Database,FILESTAT!DM$3,bfy1998_)</f>
        <v>0</v>
      </c>
      <c r="DN15" s="111">
        <f>DSUM(_xlnm.Database,FILESTAT!DN$3,bfy1998_)</f>
        <v>0</v>
      </c>
      <c r="DO15" s="111">
        <f>DSUM(_xlnm.Database,FILESTAT!DO$3,bfy1998_)</f>
        <v>0</v>
      </c>
      <c r="DP15" s="111">
        <f>DSUM(_xlnm.Database,FILESTAT!DP$3,bfy1998_)</f>
        <v>0</v>
      </c>
      <c r="DQ15" s="111">
        <f>DSUM(_xlnm.Database,FILESTAT!DQ$3,bfy1998_)</f>
        <v>0</v>
      </c>
      <c r="DS15" s="111">
        <f>DSUM(_xlnm.Database,FILESTAT!DS$3,bfy1998_)</f>
        <v>0</v>
      </c>
      <c r="DT15" s="111">
        <f>DSUM(_xlnm.Database,FILESTAT!DT$3,bfy1998_)</f>
        <v>0</v>
      </c>
      <c r="DU15" s="111">
        <f>DSUM(_xlnm.Database,FILESTAT!DU$3,bfy1998_)</f>
        <v>0</v>
      </c>
      <c r="DV15" s="127">
        <f t="shared" si="0"/>
        <v>0</v>
      </c>
      <c r="DW15" s="129" t="str">
        <f t="shared" si="1"/>
        <v>PROB</v>
      </c>
    </row>
    <row r="16" spans="1:129" s="111" customFormat="1">
      <c r="A16" s="119">
        <v>1999</v>
      </c>
      <c r="B16" s="189"/>
      <c r="C16" s="110">
        <f>DSUM(_xlnm.Database,FILESTAT!C$3,bfy1999_)</f>
        <v>85</v>
      </c>
      <c r="D16" s="111">
        <f>DSUM(_xlnm.Database,FILESTAT!D$3,bfy1999_)</f>
        <v>396</v>
      </c>
      <c r="E16" s="111">
        <f>DSUM(_xlnm.Database,FILESTAT!E$3,bfy1999_)</f>
        <v>36</v>
      </c>
      <c r="F16" s="111">
        <f>DSUM(_xlnm.Database,FILESTAT!F$3,bfy1999_)</f>
        <v>10</v>
      </c>
      <c r="G16" s="111">
        <f>DSUM(_xlnm.Database,FILESTAT!G$3,bfy1999_)</f>
        <v>34</v>
      </c>
      <c r="H16" s="111">
        <f>DSUM(_xlnm.Database,FILESTAT!H$3,bfy1999_)</f>
        <v>24</v>
      </c>
      <c r="I16" s="111">
        <f>DSUM(_xlnm.Database,FILESTAT!I$3,bfy1999_)</f>
        <v>1</v>
      </c>
      <c r="J16" s="111">
        <f>DSUM(_xlnm.Database,FILESTAT!J$3,bfy1999_)</f>
        <v>130</v>
      </c>
      <c r="K16" s="111">
        <f>DSUM(_xlnm.Database,FILESTAT!K$3,bfy1999_)</f>
        <v>6</v>
      </c>
      <c r="L16" s="111">
        <f>DSUM(_xlnm.Database,FILESTAT!L$3,bfy1999_)</f>
        <v>8</v>
      </c>
      <c r="M16" s="111">
        <f>DSUM(_xlnm.Database,FILESTAT!M$3,bfy1999_)</f>
        <v>0</v>
      </c>
      <c r="N16" s="111">
        <f>DSUM(_xlnm.Database,FILESTAT!N$3,bfy1999_)</f>
        <v>0</v>
      </c>
      <c r="O16" s="111">
        <f>DSUM(_xlnm.Database,FILESTAT!O$3,bfy1999_)</f>
        <v>142</v>
      </c>
      <c r="P16" s="111">
        <f>DSUM(_xlnm.Database,FILESTAT!P$3,bfy1999_)</f>
        <v>62</v>
      </c>
      <c r="Q16" s="111">
        <f>DSUM(_xlnm.Database,FILESTAT!Q$3,bfy1999_)</f>
        <v>11</v>
      </c>
      <c r="R16" s="112">
        <f>DSUM(_xlnm.Database,FILESTAT!R$3,bfy1999_)</f>
        <v>1</v>
      </c>
      <c r="S16" s="120">
        <f>IF(SUM(C16:R16)=FILESTAT!S347,SUM(C16:R16),"PROBLEM")</f>
        <v>946</v>
      </c>
      <c r="T16" s="110">
        <f>DSUM(_xlnm.Database,FILESTAT!T$3,bfy1999_)</f>
        <v>20</v>
      </c>
      <c r="U16" s="110">
        <f>DSUM(_xlnm.Database,FILESTAT!U$3,bfy1999_)</f>
        <v>291</v>
      </c>
      <c r="V16" s="111">
        <f>DSUM(_xlnm.Database,FILESTAT!V$3,bfy1999_)</f>
        <v>0</v>
      </c>
      <c r="W16" s="111">
        <f>DSUM(_xlnm.Database,FILESTAT!W$3,bfy1999_)</f>
        <v>0</v>
      </c>
      <c r="X16" s="112">
        <f>DSUM(_xlnm.Database,FILESTAT!X$3,bfy1999_)</f>
        <v>7</v>
      </c>
      <c r="Z16" s="110">
        <f>DSUM(_xlnm.Database,FILESTAT!Z$3,bfy1999_)</f>
        <v>27807626</v>
      </c>
      <c r="AA16" s="111">
        <f>DSUM(_xlnm.Database,FILESTAT!AA$3,bfy1999_)</f>
        <v>18528891</v>
      </c>
      <c r="AC16" s="110">
        <f>DSUM(_xlnm.Database,FILESTAT!AC$3,bfy1999_)</f>
        <v>16039691</v>
      </c>
      <c r="AD16" s="111">
        <f>DSUM(_xlnm.Database,FILESTAT!AD$3,bfy1999_)</f>
        <v>27377122</v>
      </c>
      <c r="AE16" s="120">
        <f t="shared" si="4"/>
        <v>43416813</v>
      </c>
      <c r="AG16" s="110">
        <f>DSUM(_xlnm.Database,FILESTAT!AG$3,bfy1999_)</f>
        <v>1798</v>
      </c>
      <c r="AH16" s="111">
        <f>DSUM(_xlnm.Database,FILESTAT!AH$3,bfy1999_)</f>
        <v>1087</v>
      </c>
      <c r="AI16" s="111">
        <f>DSUM(_xlnm.Database,FILESTAT!AI$3,bfy1999_)</f>
        <v>3180</v>
      </c>
      <c r="AJ16" s="112">
        <f>DSUM(_xlnm.Database,FILESTAT!AJ$3,bfy1999_)</f>
        <v>640</v>
      </c>
      <c r="AL16" s="121">
        <f>DAVERAGE(_xlnm.Database,FILESTAT!AL$3,bfy1999_)</f>
        <v>36.25</v>
      </c>
      <c r="AM16" s="122">
        <f>DAVERAGE(_xlnm.Database,FILESTAT!AM$3,bfy1999_)</f>
        <v>101.75</v>
      </c>
      <c r="AN16" s="120">
        <f t="shared" si="2"/>
        <v>138</v>
      </c>
      <c r="AO16" s="122">
        <f>DAVERAGE(_xlnm.Database,FILESTAT!AO$3,bfy1999_)</f>
        <v>110.2</v>
      </c>
      <c r="AP16" s="122">
        <f>DAVERAGE(_xlnm.Database,FILESTAT!AP$3,bfy1999_)</f>
        <v>12.4</v>
      </c>
      <c r="AQ16" s="120">
        <f t="shared" si="3"/>
        <v>123</v>
      </c>
      <c r="AR16" s="122"/>
      <c r="AS16" s="122"/>
      <c r="AT16" s="122"/>
      <c r="AU16" s="122"/>
      <c r="AV16" s="123"/>
      <c r="AW16"/>
      <c r="AX16" s="356"/>
      <c r="AY16"/>
      <c r="BA16" s="121">
        <f>ROUND(DAVERAGE(_xlnm.Database,FILESTAT!BA$3,bfy1999_),0)</f>
        <v>1641</v>
      </c>
      <c r="BB16" s="122">
        <f>DAVERAGE(_xlnm.Database,FILESTAT!BB$3,bfy1999_)</f>
        <v>28106065.5</v>
      </c>
      <c r="BC16" s="122">
        <f>DAVERAGE(_xlnm.Database,FILESTAT!BC$3,bfy1999_)</f>
        <v>19814570.666666668</v>
      </c>
      <c r="BD16" s="122"/>
      <c r="BE16" s="111">
        <f>DSUM(_xlnm.Database,FILESTAT!BE$3,bfy1999_)</f>
        <v>590</v>
      </c>
      <c r="BF16" s="111">
        <f>DSUM(_xlnm.Database,FILESTAT!BF$3,bfy1999_)</f>
        <v>108</v>
      </c>
      <c r="BG16" s="111">
        <f>DSUM(_xlnm.Database,FILESTAT!BG$3,bfy1999_)</f>
        <v>39</v>
      </c>
      <c r="BI16" s="122">
        <f>DAVERAGE(_xlnm.Database,FILESTAT!BI$3,bfy1999_)</f>
        <v>1573492.75</v>
      </c>
      <c r="BJ16" s="122"/>
      <c r="BK16" s="122"/>
      <c r="BL16" s="122"/>
      <c r="BM16" s="112">
        <f>DSUM(_xlnm.Database,FILESTAT!BM$3,bfy1999_)</f>
        <v>0</v>
      </c>
      <c r="BO16" s="121"/>
      <c r="BP16" s="123">
        <f>DAVERAGE(_xlnm.Database,FILESTAT!BP$3,bfy1999_)</f>
        <v>150.41666666666666</v>
      </c>
      <c r="BR16" s="236"/>
      <c r="BS16" s="126"/>
      <c r="BT16" s="237"/>
      <c r="BV16" s="110">
        <f>DSUM(_xlnm.Database,FILESTAT!BV$3,bfy1999_)</f>
        <v>0</v>
      </c>
      <c r="BW16" s="111">
        <f>DSUM(_xlnm.Database,FILESTAT!BW$3,bfy1999_)</f>
        <v>0</v>
      </c>
      <c r="BX16" s="111">
        <f>DSUM(_xlnm.Database,FILESTAT!BX$3,bfy1999_)</f>
        <v>0</v>
      </c>
      <c r="BY16" s="111">
        <f>DSUM(_xlnm.Database,FILESTAT!BY$3,bfy1999_)</f>
        <v>0</v>
      </c>
      <c r="BZ16" s="111">
        <f>DSUM(_xlnm.Database,FILESTAT!BZ$3,bfy1999_)</f>
        <v>0</v>
      </c>
      <c r="CA16" s="111">
        <f>DSUM(_xlnm.Database,FILESTAT!CA$3,bfy1999_)</f>
        <v>0</v>
      </c>
      <c r="CB16" s="111">
        <f>DSUM(_xlnm.Database,FILESTAT!CB$3,bfy1999_)</f>
        <v>0</v>
      </c>
      <c r="CC16" s="289">
        <f>DSUM(_xlnm.Database,FILESTAT!CC$3,bfy1999_)</f>
        <v>0</v>
      </c>
      <c r="CD16" s="111">
        <f>DSUM(_xlnm.Database,FILESTAT!CD$3,bfy1999_)</f>
        <v>0</v>
      </c>
      <c r="CE16" s="289">
        <f>DSUM(_xlnm.Database,FILESTAT!CE$3,bfy1999_)</f>
        <v>0</v>
      </c>
      <c r="CF16" s="111">
        <f>DSUM(_xlnm.Database,FILESTAT!CF$3,bfy1999_)</f>
        <v>0</v>
      </c>
      <c r="CG16" s="111">
        <f>DSUM(_xlnm.Database,FILESTAT!CG$3,bfy1999_)</f>
        <v>0</v>
      </c>
      <c r="CH16" s="111">
        <f>DSUM(_xlnm.Database,FILESTAT!CH$3,bfy1999_)</f>
        <v>0</v>
      </c>
      <c r="CI16" s="111">
        <f>DSUM(_xlnm.Database,FILESTAT!CI$3,bfy1999_)</f>
        <v>0</v>
      </c>
      <c r="CJ16" s="111">
        <f>DSUM(_xlnm.Database,FILESTAT!CJ$3,bfy1999_)</f>
        <v>0</v>
      </c>
      <c r="CK16" s="289">
        <f>DSUM(_xlnm.Database,FILESTAT!CK$3,bfy1999_)</f>
        <v>0</v>
      </c>
      <c r="CL16" s="111">
        <f>DSUM(_xlnm.Database,FILESTAT!CL$3,bfy1999_)</f>
        <v>0</v>
      </c>
      <c r="CM16" s="111">
        <f>DSUM(_xlnm.Database,FILESTAT!CM$3,bfy1999_)</f>
        <v>0</v>
      </c>
      <c r="CN16" s="111">
        <f>DSUM(_xlnm.Database,FILESTAT!CN$3,bfy1999_)</f>
        <v>0</v>
      </c>
      <c r="CO16" s="111">
        <f>DSUM(_xlnm.Database,FILESTAT!CO$3,bfy1999_)</f>
        <v>0</v>
      </c>
      <c r="CP16" s="289">
        <f>DSUM(_xlnm.Database,FILESTAT!CP$3,bfy1999_)</f>
        <v>0</v>
      </c>
      <c r="CQ16" s="111">
        <f>DSUM(_xlnm.Database,FILESTAT!CQ$3,bfy1999_)</f>
        <v>0</v>
      </c>
      <c r="CR16" s="111">
        <f>DSUM(_xlnm.Database,FILESTAT!CR$3,bfy1999_)</f>
        <v>0</v>
      </c>
      <c r="CS16" s="111">
        <f>DSUM(_xlnm.Database,FILESTAT!CS$3,bfy1999_)</f>
        <v>0</v>
      </c>
      <c r="CT16" s="111">
        <f>DSUM(_xlnm.Database,FILESTAT!CT$3,bfy1999_)</f>
        <v>0</v>
      </c>
      <c r="CU16" s="289">
        <f>DSUM(_xlnm.Database,FILESTAT!CU$3,bfy1999_)</f>
        <v>0</v>
      </c>
      <c r="CV16" s="111">
        <f>DSUM(_xlnm.Database,FILESTAT!CV$3,bfy1999_)</f>
        <v>0</v>
      </c>
      <c r="CW16" s="111">
        <f>DSUM(_xlnm.Database,FILESTAT!CW$3,bfy1999_)</f>
        <v>0</v>
      </c>
      <c r="CX16" s="111">
        <f>DSUM(_xlnm.Database,FILESTAT!CX$3,bfy1999_)</f>
        <v>0</v>
      </c>
      <c r="CY16" s="111">
        <f>DSUM(_xlnm.Database,FILESTAT!CY$3,bfy1999_)</f>
        <v>0</v>
      </c>
      <c r="CZ16" s="111">
        <f>DSUM(_xlnm.Database,FILESTAT!CZ$3,bfy1999_)</f>
        <v>0</v>
      </c>
      <c r="DA16" s="111">
        <f>DSUM(_xlnm.Database,FILESTAT!DA$3,bfy1999_)</f>
        <v>0</v>
      </c>
      <c r="DB16" s="111">
        <f>DSUM(_xlnm.Database,FILESTAT!DB$3,bfy1999_)</f>
        <v>0</v>
      </c>
      <c r="DC16" s="111">
        <f>DSUM(_xlnm.Database,FILESTAT!DC$3,bfy1999_)</f>
        <v>0</v>
      </c>
      <c r="DD16" s="111">
        <f>DSUM(_xlnm.Database,FILESTAT!DD$3,bfy1999_)</f>
        <v>0</v>
      </c>
      <c r="DE16" s="111">
        <f>DSUM(_xlnm.Database,FILESTAT!DE$3,bfy1999_)</f>
        <v>0</v>
      </c>
      <c r="DF16" s="111">
        <f>DSUM(_xlnm.Database,FILESTAT!DF$3,bfy1999_)</f>
        <v>0</v>
      </c>
      <c r="DG16" s="111">
        <f>DSUM(_xlnm.Database,FILESTAT!DG$3,bfy1999_)</f>
        <v>0</v>
      </c>
      <c r="DH16" s="111">
        <f>DSUM(_xlnm.Database,FILESTAT!DH$3,bfy1999_)</f>
        <v>0</v>
      </c>
      <c r="DI16" s="111">
        <f>DSUM(_xlnm.Database,FILESTAT!DI$3,bfy1999_)</f>
        <v>0</v>
      </c>
      <c r="DJ16" s="111">
        <f>DSUM(_xlnm.Database,FILESTAT!DJ$3,bfy1999_)</f>
        <v>0</v>
      </c>
      <c r="DK16" s="111">
        <f>DSUM(_xlnm.Database,FILESTAT!DK$3,bfy1999_)</f>
        <v>0</v>
      </c>
      <c r="DL16" s="111">
        <f>DSUM(_xlnm.Database,FILESTAT!DL$3,bfy1999_)</f>
        <v>0</v>
      </c>
      <c r="DM16" s="111">
        <f>DSUM(_xlnm.Database,FILESTAT!DM$3,bfy1999_)</f>
        <v>0</v>
      </c>
      <c r="DN16" s="111">
        <f>DSUM(_xlnm.Database,FILESTAT!DN$3,bfy1999_)</f>
        <v>0</v>
      </c>
      <c r="DO16" s="111">
        <f>DSUM(_xlnm.Database,FILESTAT!DO$3,bfy1999_)</f>
        <v>0</v>
      </c>
      <c r="DP16" s="111">
        <f>DSUM(_xlnm.Database,FILESTAT!DP$3,bfy1999_)</f>
        <v>0</v>
      </c>
      <c r="DQ16" s="111">
        <f>DSUM(_xlnm.Database,FILESTAT!DQ$3,bfy1999_)</f>
        <v>0</v>
      </c>
      <c r="DS16" s="111">
        <f>DSUM(_xlnm.Database,FILESTAT!DS$3,bfy1999_)</f>
        <v>0</v>
      </c>
      <c r="DT16" s="111">
        <f>DSUM(_xlnm.Database,FILESTAT!DT$3,bfy1999_)</f>
        <v>0</v>
      </c>
      <c r="DU16" s="111">
        <f>DSUM(_xlnm.Database,FILESTAT!DU$3,bfy1999_)</f>
        <v>0</v>
      </c>
      <c r="DV16" s="127">
        <f t="shared" si="0"/>
        <v>0</v>
      </c>
      <c r="DW16" s="129" t="str">
        <f t="shared" si="1"/>
        <v>PROB</v>
      </c>
    </row>
    <row r="17" spans="1:130" s="111" customFormat="1">
      <c r="A17" s="119">
        <v>2000</v>
      </c>
      <c r="B17" s="189"/>
      <c r="C17" s="110">
        <f>DSUM(_xlnm.Database,FILESTAT!C$3,bfy2000_)</f>
        <v>52</v>
      </c>
      <c r="D17" s="111">
        <f>DSUM(_xlnm.Database,FILESTAT!D$3,bfy2000_)</f>
        <v>337</v>
      </c>
      <c r="E17" s="111">
        <f>DSUM(_xlnm.Database,FILESTAT!E$3,bfy2000_)</f>
        <v>30</v>
      </c>
      <c r="F17" s="111">
        <f>DSUM(_xlnm.Database,FILESTAT!F$3,bfy2000_)</f>
        <v>12</v>
      </c>
      <c r="G17" s="111">
        <f>DSUM(_xlnm.Database,FILESTAT!G$3,bfy2000_)</f>
        <v>25</v>
      </c>
      <c r="H17" s="111">
        <f>DSUM(_xlnm.Database,FILESTAT!H$3,bfy2000_)</f>
        <v>11</v>
      </c>
      <c r="I17" s="111">
        <f>DSUM(_xlnm.Database,FILESTAT!I$3,bfy2000_)</f>
        <v>0</v>
      </c>
      <c r="J17" s="111">
        <f>DSUM(_xlnm.Database,FILESTAT!J$3,bfy2000_)</f>
        <v>140</v>
      </c>
      <c r="K17" s="111">
        <f>DSUM(_xlnm.Database,FILESTAT!K$3,bfy2000_)</f>
        <v>1</v>
      </c>
      <c r="L17" s="111">
        <f>DSUM(_xlnm.Database,FILESTAT!L$3,bfy2000_)</f>
        <v>0</v>
      </c>
      <c r="M17" s="111">
        <f>DSUM(_xlnm.Database,FILESTAT!M$3,bfy2000_)</f>
        <v>0</v>
      </c>
      <c r="N17" s="111">
        <f>DSUM(_xlnm.Database,FILESTAT!N$3,bfy2000_)</f>
        <v>0</v>
      </c>
      <c r="O17" s="111">
        <f>DSUM(_xlnm.Database,FILESTAT!O$3,bfy2000_)</f>
        <v>215</v>
      </c>
      <c r="P17" s="111">
        <f>DSUM(_xlnm.Database,FILESTAT!P$3,bfy2000_)</f>
        <v>16</v>
      </c>
      <c r="Q17" s="111">
        <f>DSUM(_xlnm.Database,FILESTAT!Q$3,bfy2000_)</f>
        <v>1</v>
      </c>
      <c r="R17" s="112">
        <f>DSUM(_xlnm.Database,FILESTAT!R$3,bfy2000_)</f>
        <v>0</v>
      </c>
      <c r="S17" s="120">
        <f>IF(SUM(C17:R17)=FILESTAT!S376,SUM(C17:R17),"PROBLEM")</f>
        <v>840</v>
      </c>
      <c r="T17" s="110">
        <f>DSUM(_xlnm.Database,FILESTAT!T$3,bfy2000_)</f>
        <v>70</v>
      </c>
      <c r="U17" s="110">
        <f>DSUM(_xlnm.Database,FILESTAT!U$3,bfy2000_)</f>
        <v>208</v>
      </c>
      <c r="V17" s="111">
        <f>DSUM(_xlnm.Database,FILESTAT!V$3,bfy2000_)</f>
        <v>0</v>
      </c>
      <c r="W17" s="111">
        <f>DSUM(_xlnm.Database,FILESTAT!W$3,bfy2000_)</f>
        <v>1</v>
      </c>
      <c r="X17" s="112">
        <f>DSUM(_xlnm.Database,FILESTAT!X$3,bfy2000_)</f>
        <v>5</v>
      </c>
      <c r="Z17" s="110">
        <f>DSUM(_xlnm.Database,FILESTAT!Z$3,bfy2000_)</f>
        <v>26800585</v>
      </c>
      <c r="AA17" s="111">
        <f>DSUM(_xlnm.Database,FILESTAT!AA$3,bfy2000_)</f>
        <v>15653550</v>
      </c>
      <c r="AC17" s="110">
        <f>DSUM(_xlnm.Database,FILESTAT!AC$3,bfy2000_)</f>
        <v>14397070</v>
      </c>
      <c r="AD17" s="111">
        <f>DSUM(_xlnm.Database,FILESTAT!AD$3,bfy2000_)</f>
        <v>22300338</v>
      </c>
      <c r="AE17" s="120">
        <f t="shared" si="4"/>
        <v>36697408</v>
      </c>
      <c r="AG17" s="110">
        <f>DSUM(_xlnm.Database,FILESTAT!AG$3,bfy2000_)</f>
        <v>1615</v>
      </c>
      <c r="AH17" s="111">
        <f>DSUM(_xlnm.Database,FILESTAT!AH$3,bfy2000_)</f>
        <v>992</v>
      </c>
      <c r="AI17" s="111">
        <f>DSUM(_xlnm.Database,FILESTAT!AI$3,bfy2000_)</f>
        <v>3074</v>
      </c>
      <c r="AJ17" s="112">
        <f>DSUM(_xlnm.Database,FILESTAT!AJ$3,bfy2000_)</f>
        <v>560</v>
      </c>
      <c r="AL17" s="121">
        <f>DAVERAGE(_xlnm.Database,FILESTAT!AL$3,bfy2000_)</f>
        <v>35.75</v>
      </c>
      <c r="AM17" s="122">
        <f>DAVERAGE(_xlnm.Database,FILESTAT!AM$3,bfy2000_)</f>
        <v>92</v>
      </c>
      <c r="AN17" s="120">
        <f t="shared" si="2"/>
        <v>128</v>
      </c>
      <c r="AO17" s="122">
        <f>DAVERAGE(_xlnm.Database,FILESTAT!AO$3,bfy2000_)</f>
        <v>90</v>
      </c>
      <c r="AP17" s="122">
        <f>DAVERAGE(_xlnm.Database,FILESTAT!AP$3,bfy2000_)</f>
        <v>12.5</v>
      </c>
      <c r="AQ17" s="120">
        <f t="shared" si="3"/>
        <v>103</v>
      </c>
      <c r="AR17" s="122"/>
      <c r="AS17" s="122">
        <f>DAVERAGE(_xlnm.Database,FILESTAT!AS$3,bfy2000_)</f>
        <v>5</v>
      </c>
      <c r="AT17" s="122">
        <f>DAVERAGE(_xlnm.Database,FILESTAT!AT$3,bfy2000_)</f>
        <v>8</v>
      </c>
      <c r="AU17" s="122"/>
      <c r="AV17" s="123">
        <f>DAVERAGE(_xlnm.Database,FILESTAT!AV$3,bfy2000_)</f>
        <v>14</v>
      </c>
      <c r="AW17"/>
      <c r="AX17" s="356"/>
      <c r="AY17"/>
      <c r="BA17" s="121">
        <f>ROUND(DAVERAGE(_xlnm.Database,FILESTAT!BA$3,bfy2000_),0)</f>
        <v>1684</v>
      </c>
      <c r="BB17" s="122">
        <f>DAVERAGE(_xlnm.Database,FILESTAT!BB$3,bfy2000_)</f>
        <v>27938841</v>
      </c>
      <c r="BC17" s="122"/>
      <c r="BD17" s="122"/>
      <c r="BE17" s="111">
        <f>DSUM(_xlnm.Database,FILESTAT!BE$3,bfy2000_)</f>
        <v>631</v>
      </c>
      <c r="BF17" s="111">
        <f>DSUM(_xlnm.Database,FILESTAT!BF$3,bfy2000_)</f>
        <v>59</v>
      </c>
      <c r="BG17" s="111">
        <f>DSUM(_xlnm.Database,FILESTAT!BG$3,bfy2000_)</f>
        <v>28</v>
      </c>
      <c r="BI17" s="122">
        <f>DAVERAGE(_xlnm.Database,FILESTAT!BI$3,bfy2000_)</f>
        <v>1505343</v>
      </c>
      <c r="BJ17" s="122"/>
      <c r="BK17" s="122"/>
      <c r="BL17" s="122"/>
      <c r="BM17" s="112">
        <f>DSUM(_xlnm.Database,FILESTAT!BM$3,bfy2000_)</f>
        <v>4109</v>
      </c>
      <c r="BO17" s="121"/>
      <c r="BP17" s="123">
        <f>DAVERAGE(_xlnm.Database,FILESTAT!BP$3,bfy2000_)</f>
        <v>156</v>
      </c>
      <c r="BR17" s="236"/>
      <c r="BS17" s="126"/>
      <c r="BT17" s="237"/>
      <c r="BV17" s="110">
        <f>DSUM(_xlnm.Database,FILESTAT!BV$3,bfy2000_)</f>
        <v>0</v>
      </c>
      <c r="BW17" s="111">
        <f>DSUM(_xlnm.Database,FILESTAT!BW$3,bfy2000_)</f>
        <v>0</v>
      </c>
      <c r="BX17" s="111">
        <f>DSUM(_xlnm.Database,FILESTAT!BX$3,bfy2000_)</f>
        <v>0</v>
      </c>
      <c r="BY17" s="111">
        <f>DSUM(_xlnm.Database,FILESTAT!BY$3,bfy2000_)</f>
        <v>0</v>
      </c>
      <c r="BZ17" s="111">
        <f>DSUM(_xlnm.Database,FILESTAT!BZ$3,bfy2000_)</f>
        <v>0</v>
      </c>
      <c r="CA17" s="111">
        <f>DSUM(_xlnm.Database,FILESTAT!CA$3,bfy2000_)</f>
        <v>0</v>
      </c>
      <c r="CB17" s="111">
        <f>DSUM(_xlnm.Database,FILESTAT!CB$3,bfy2000_)</f>
        <v>0</v>
      </c>
      <c r="CC17" s="289">
        <f>DSUM(_xlnm.Database,FILESTAT!CC$3,bfy2000_)</f>
        <v>0</v>
      </c>
      <c r="CD17" s="111">
        <f>DSUM(_xlnm.Database,FILESTAT!CD$3,bfy2000_)</f>
        <v>0</v>
      </c>
      <c r="CE17" s="289">
        <f>DSUM(_xlnm.Database,FILESTAT!CE$3,bfy2000_)</f>
        <v>0</v>
      </c>
      <c r="CF17" s="111">
        <f>DSUM(_xlnm.Database,FILESTAT!CF$3,bfy2000_)</f>
        <v>0</v>
      </c>
      <c r="CG17" s="111">
        <f>DSUM(_xlnm.Database,FILESTAT!CG$3,bfy2000_)</f>
        <v>0</v>
      </c>
      <c r="CH17" s="111">
        <f>DSUM(_xlnm.Database,FILESTAT!CH$3,bfy2000_)</f>
        <v>0</v>
      </c>
      <c r="CI17" s="111">
        <f>DSUM(_xlnm.Database,FILESTAT!CI$3,bfy2000_)</f>
        <v>0</v>
      </c>
      <c r="CJ17" s="111">
        <f>DSUM(_xlnm.Database,FILESTAT!CJ$3,bfy2000_)</f>
        <v>0</v>
      </c>
      <c r="CK17" s="289">
        <f>DSUM(_xlnm.Database,FILESTAT!CK$3,bfy2000_)</f>
        <v>0</v>
      </c>
      <c r="CL17" s="111">
        <f>DSUM(_xlnm.Database,FILESTAT!CL$3,bfy2000_)</f>
        <v>0</v>
      </c>
      <c r="CM17" s="111">
        <f>DSUM(_xlnm.Database,FILESTAT!CM$3,bfy2000_)</f>
        <v>0</v>
      </c>
      <c r="CN17" s="111">
        <f>DSUM(_xlnm.Database,FILESTAT!CN$3,bfy2000_)</f>
        <v>0</v>
      </c>
      <c r="CO17" s="111">
        <f>DSUM(_xlnm.Database,FILESTAT!CO$3,bfy2000_)</f>
        <v>0</v>
      </c>
      <c r="CP17" s="289">
        <f>DSUM(_xlnm.Database,FILESTAT!CP$3,bfy2000_)</f>
        <v>0</v>
      </c>
      <c r="CQ17" s="111">
        <f>DSUM(_xlnm.Database,FILESTAT!CQ$3,bfy2000_)</f>
        <v>0</v>
      </c>
      <c r="CR17" s="111">
        <f>DSUM(_xlnm.Database,FILESTAT!CR$3,bfy2000_)</f>
        <v>0</v>
      </c>
      <c r="CS17" s="111">
        <f>DSUM(_xlnm.Database,FILESTAT!CS$3,bfy2000_)</f>
        <v>0</v>
      </c>
      <c r="CT17" s="111">
        <f>DSUM(_xlnm.Database,FILESTAT!CT$3,bfy2000_)</f>
        <v>0</v>
      </c>
      <c r="CU17" s="289">
        <f>DSUM(_xlnm.Database,FILESTAT!CU$3,bfy2000_)</f>
        <v>0</v>
      </c>
      <c r="CV17" s="111">
        <f>DSUM(_xlnm.Database,FILESTAT!CV$3,bfy2000_)</f>
        <v>0</v>
      </c>
      <c r="CW17" s="111">
        <f>DSUM(_xlnm.Database,FILESTAT!CW$3,bfy2000_)</f>
        <v>0</v>
      </c>
      <c r="CX17" s="111">
        <f>DSUM(_xlnm.Database,FILESTAT!CX$3,bfy2000_)</f>
        <v>0</v>
      </c>
      <c r="CY17" s="111">
        <f>DSUM(_xlnm.Database,FILESTAT!CY$3,bfy2000_)</f>
        <v>0</v>
      </c>
      <c r="CZ17" s="111">
        <f>DSUM(_xlnm.Database,FILESTAT!CZ$3,bfy2000_)</f>
        <v>0</v>
      </c>
      <c r="DA17" s="111">
        <f>DSUM(_xlnm.Database,FILESTAT!DA$3,bfy2000_)</f>
        <v>0</v>
      </c>
      <c r="DB17" s="111">
        <f>DSUM(_xlnm.Database,FILESTAT!DB$3,bfy2000_)</f>
        <v>0</v>
      </c>
      <c r="DC17" s="111">
        <f>DSUM(_xlnm.Database,FILESTAT!DC$3,bfy2000_)</f>
        <v>0</v>
      </c>
      <c r="DD17" s="111">
        <f>DSUM(_xlnm.Database,FILESTAT!DD$3,bfy2000_)</f>
        <v>0</v>
      </c>
      <c r="DE17" s="111">
        <f>DSUM(_xlnm.Database,FILESTAT!DE$3,bfy2000_)</f>
        <v>0</v>
      </c>
      <c r="DF17" s="111">
        <f>DSUM(_xlnm.Database,FILESTAT!DF$3,bfy2000_)</f>
        <v>0</v>
      </c>
      <c r="DG17" s="111">
        <f>DSUM(_xlnm.Database,FILESTAT!DG$3,bfy2000_)</f>
        <v>0</v>
      </c>
      <c r="DH17" s="111">
        <f>DSUM(_xlnm.Database,FILESTAT!DH$3,bfy2000_)</f>
        <v>0</v>
      </c>
      <c r="DI17" s="111">
        <f>DSUM(_xlnm.Database,FILESTAT!DI$3,bfy2000_)</f>
        <v>0</v>
      </c>
      <c r="DJ17" s="111">
        <f>DSUM(_xlnm.Database,FILESTAT!DJ$3,bfy2000_)</f>
        <v>0</v>
      </c>
      <c r="DK17" s="111">
        <f>DSUM(_xlnm.Database,FILESTAT!DK$3,bfy2000_)</f>
        <v>0</v>
      </c>
      <c r="DL17" s="111">
        <f>DSUM(_xlnm.Database,FILESTAT!DL$3,bfy2000_)</f>
        <v>0</v>
      </c>
      <c r="DM17" s="111">
        <f>DSUM(_xlnm.Database,FILESTAT!DM$3,bfy2000_)</f>
        <v>0</v>
      </c>
      <c r="DN17" s="111">
        <f>DSUM(_xlnm.Database,FILESTAT!DN$3,bfy2000_)</f>
        <v>0</v>
      </c>
      <c r="DO17" s="111">
        <f>DSUM(_xlnm.Database,FILESTAT!DO$3,bfy2000_)</f>
        <v>0</v>
      </c>
      <c r="DP17" s="111">
        <f>DSUM(_xlnm.Database,FILESTAT!DP$3,bfy2000_)</f>
        <v>0</v>
      </c>
      <c r="DQ17" s="111">
        <f>DSUM(_xlnm.Database,FILESTAT!DQ$3,bfy2000_)</f>
        <v>0</v>
      </c>
      <c r="DS17" s="111">
        <f>DSUM(_xlnm.Database,FILESTAT!DS$3,bfy2000_)</f>
        <v>0</v>
      </c>
      <c r="DT17" s="111">
        <f>DSUM(_xlnm.Database,FILESTAT!DT$3,bfy2000_)</f>
        <v>0</v>
      </c>
      <c r="DU17" s="111">
        <f>DSUM(_xlnm.Database,FILESTAT!DU$3,bfy2000_)</f>
        <v>0</v>
      </c>
      <c r="DV17" s="127">
        <f t="shared" si="0"/>
        <v>0</v>
      </c>
      <c r="DW17" s="129" t="str">
        <f t="shared" si="1"/>
        <v>PROB</v>
      </c>
    </row>
    <row r="18" spans="1:130" s="111" customFormat="1">
      <c r="A18" s="119">
        <v>2001</v>
      </c>
      <c r="B18" s="189"/>
      <c r="C18" s="110">
        <f>DSUM(_xlnm.Database,FILESTAT!C$3,bfy2001_)</f>
        <v>60</v>
      </c>
      <c r="D18" s="111">
        <f>DSUM(_xlnm.Database,FILESTAT!D$3,bfy2001_)</f>
        <v>392</v>
      </c>
      <c r="E18" s="111">
        <f>DSUM(_xlnm.Database,FILESTAT!E$3,bfy2001_)</f>
        <v>42</v>
      </c>
      <c r="F18" s="111">
        <f>DSUM(_xlnm.Database,FILESTAT!F$3,bfy2001_)</f>
        <v>6</v>
      </c>
      <c r="G18" s="111">
        <f>DSUM(_xlnm.Database,FILESTAT!G$3,bfy2001_)</f>
        <v>37</v>
      </c>
      <c r="H18" s="111">
        <f>DSUM(_xlnm.Database,FILESTAT!H$3,bfy2001_)</f>
        <v>17</v>
      </c>
      <c r="I18" s="111">
        <f>DSUM(_xlnm.Database,FILESTAT!I$3,bfy2001_)</f>
        <v>0</v>
      </c>
      <c r="J18" s="111">
        <f>DSUM(_xlnm.Database,FILESTAT!J$3,bfy2001_)</f>
        <v>139</v>
      </c>
      <c r="K18" s="111">
        <f>DSUM(_xlnm.Database,FILESTAT!K$3,bfy2001_)</f>
        <v>3</v>
      </c>
      <c r="L18" s="111">
        <f>DSUM(_xlnm.Database,FILESTAT!L$3,bfy2001_)</f>
        <v>3</v>
      </c>
      <c r="M18" s="111">
        <f>DSUM(_xlnm.Database,FILESTAT!M$3,bfy2001_)</f>
        <v>0</v>
      </c>
      <c r="N18" s="111">
        <f>DSUM(_xlnm.Database,FILESTAT!N$3,bfy2001_)</f>
        <v>0</v>
      </c>
      <c r="O18" s="111">
        <f>DSUM(_xlnm.Database,FILESTAT!O$3,bfy2001_)</f>
        <v>227</v>
      </c>
      <c r="P18" s="111">
        <f>DSUM(_xlnm.Database,FILESTAT!P$3,bfy2001_)</f>
        <v>14</v>
      </c>
      <c r="Q18" s="111">
        <f>DSUM(_xlnm.Database,FILESTAT!Q$3,bfy2001_)</f>
        <v>2</v>
      </c>
      <c r="R18" s="112">
        <f>DSUM(_xlnm.Database,FILESTAT!R$3,bfy2001_)</f>
        <v>0</v>
      </c>
      <c r="S18" s="120">
        <f>IF(SUM(C18:R18)=FILESTAT!S405,SUM(C18:R18),"PROBLEM")</f>
        <v>942</v>
      </c>
      <c r="T18" s="110">
        <f>DSUM(_xlnm.Database,FILESTAT!T$3,bfy2001_)</f>
        <v>159</v>
      </c>
      <c r="U18" s="110">
        <f>DSUM(_xlnm.Database,FILESTAT!U$3,bfy2001_)</f>
        <v>182</v>
      </c>
      <c r="V18" s="111">
        <f>DSUM(_xlnm.Database,FILESTAT!V$3,bfy2001_)</f>
        <v>0</v>
      </c>
      <c r="W18" s="111">
        <f>DSUM(_xlnm.Database,FILESTAT!W$3,bfy2001_)</f>
        <v>0</v>
      </c>
      <c r="X18" s="112">
        <f>DSUM(_xlnm.Database,FILESTAT!X$3,bfy2001_)</f>
        <v>7</v>
      </c>
      <c r="Z18" s="110">
        <f>DSUM(_xlnm.Database,FILESTAT!Z$3,bfy2001_)</f>
        <v>27378237</v>
      </c>
      <c r="AA18" s="111">
        <f>DSUM(_xlnm.Database,FILESTAT!AA$3,bfy2001_)</f>
        <v>18779911</v>
      </c>
      <c r="AC18" s="110">
        <f>DSUM(_xlnm.Database,FILESTAT!AC$3,bfy2001_)</f>
        <v>17041576</v>
      </c>
      <c r="AD18" s="111">
        <f>DSUM(_xlnm.Database,FILESTAT!AD$3,bfy2001_)</f>
        <v>24103186</v>
      </c>
      <c r="AE18" s="120">
        <f t="shared" si="4"/>
        <v>41144762</v>
      </c>
      <c r="AG18" s="110">
        <f>DSUM(_xlnm.Database,FILESTAT!AG$3,bfy2001_)</f>
        <v>1855</v>
      </c>
      <c r="AH18" s="111">
        <f>DSUM(_xlnm.Database,FILESTAT!AH$3,bfy2001_)</f>
        <v>942</v>
      </c>
      <c r="AI18" s="111">
        <f>DSUM(_xlnm.Database,FILESTAT!AI$3,bfy2001_)</f>
        <v>3172</v>
      </c>
      <c r="AJ18" s="112">
        <f>DSUM(_xlnm.Database,FILESTAT!AJ$3,bfy2001_)</f>
        <v>596</v>
      </c>
      <c r="AL18" s="121">
        <f>DAVERAGE(_xlnm.Database,FILESTAT!AL$3,bfy2001_)</f>
        <v>34</v>
      </c>
      <c r="AM18" s="122">
        <f>DAVERAGE(_xlnm.Database,FILESTAT!AM$3,bfy2001_)</f>
        <v>81.25</v>
      </c>
      <c r="AN18" s="120">
        <f t="shared" si="2"/>
        <v>115</v>
      </c>
      <c r="AO18" s="122">
        <f>DAVERAGE(_xlnm.Database,FILESTAT!AO$3,bfy2001_)</f>
        <v>66.25</v>
      </c>
      <c r="AP18" s="122">
        <f>DAVERAGE(_xlnm.Database,FILESTAT!AP$3,bfy2001_)</f>
        <v>9</v>
      </c>
      <c r="AQ18" s="120">
        <f t="shared" si="3"/>
        <v>75</v>
      </c>
      <c r="AR18" s="122">
        <f>ROUND(DAVERAGE(_xlnm.Database,FILESTAT!AR$3,bfy2001_),0)</f>
        <v>105</v>
      </c>
      <c r="AS18" s="122">
        <f>DAVERAGE(_xlnm.Database,FILESTAT!AS$3,bfy2001_)</f>
        <v>54.625</v>
      </c>
      <c r="AT18" s="122">
        <f>DAVERAGE(_xlnm.Database,FILESTAT!AT$3,bfy2001_)</f>
        <v>121.625</v>
      </c>
      <c r="AU18" s="122">
        <f>DAVERAGE(_xlnm.Database,FILESTAT!AU$3,bfy2001_)</f>
        <v>33.75</v>
      </c>
      <c r="AV18" s="123">
        <f>DAVERAGE(_xlnm.Database,FILESTAT!AV$3,bfy2001_)</f>
        <v>212</v>
      </c>
      <c r="AW18"/>
      <c r="AX18" s="356"/>
      <c r="AY18"/>
      <c r="BA18" s="121">
        <f>ROUND(DAVERAGE(_xlnm.Database,FILESTAT!BA$3,bfy2001_),0)</f>
        <v>1698</v>
      </c>
      <c r="BB18" s="122">
        <f>DAVERAGE(_xlnm.Database,FILESTAT!BB$3,bfy2001_)</f>
        <v>34783581.166666664</v>
      </c>
      <c r="BC18" s="122"/>
      <c r="BD18" s="122"/>
      <c r="BE18" s="111">
        <f>DSUM(_xlnm.Database,FILESTAT!BE$3,bfy2001_)</f>
        <v>650</v>
      </c>
      <c r="BF18" s="111">
        <f>DSUM(_xlnm.Database,FILESTAT!BF$3,bfy2001_)</f>
        <v>50</v>
      </c>
      <c r="BG18" s="111">
        <f>DSUM(_xlnm.Database,FILESTAT!BG$3,bfy2001_)</f>
        <v>45</v>
      </c>
      <c r="BI18" s="122">
        <f>DAVERAGE(_xlnm.Database,FILESTAT!BI$3,bfy2001_)</f>
        <v>1788553.4166666667</v>
      </c>
      <c r="BJ18" s="122"/>
      <c r="BK18" s="122"/>
      <c r="BL18" s="122"/>
      <c r="BM18" s="112">
        <f>DSUM(_xlnm.Database,FILESTAT!BM$3,bfy2001_)</f>
        <v>4168</v>
      </c>
      <c r="BO18" s="121"/>
      <c r="BP18" s="123">
        <f>DAVERAGE(_xlnm.Database,FILESTAT!BP$3,bfy2001_)</f>
        <v>158.41666666666666</v>
      </c>
      <c r="BR18" s="236"/>
      <c r="BS18" s="126"/>
      <c r="BT18" s="237"/>
      <c r="BV18" s="110">
        <f>DSUM(_xlnm.Database,FILESTAT!BV$3,bfy2001_)</f>
        <v>0</v>
      </c>
      <c r="BW18" s="111">
        <f>DSUM(_xlnm.Database,FILESTAT!BW$3,bfy2001_)</f>
        <v>0</v>
      </c>
      <c r="BX18" s="111">
        <f>DSUM(_xlnm.Database,FILESTAT!BX$3,bfy2001_)</f>
        <v>0</v>
      </c>
      <c r="BY18" s="111">
        <f>DSUM(_xlnm.Database,FILESTAT!BY$3,bfy2001_)</f>
        <v>0</v>
      </c>
      <c r="BZ18" s="111">
        <f>DSUM(_xlnm.Database,FILESTAT!BZ$3,bfy2001_)</f>
        <v>0</v>
      </c>
      <c r="CA18" s="111">
        <f>DSUM(_xlnm.Database,FILESTAT!CA$3,bfy2001_)</f>
        <v>0</v>
      </c>
      <c r="CB18" s="111">
        <f>DSUM(_xlnm.Database,FILESTAT!CB$3,bfy2001_)</f>
        <v>0</v>
      </c>
      <c r="CC18" s="289">
        <f>DSUM(_xlnm.Database,FILESTAT!CC$3,bfy2001_)</f>
        <v>0</v>
      </c>
      <c r="CD18" s="111">
        <f>DSUM(_xlnm.Database,FILESTAT!CD$3,bfy2001_)</f>
        <v>0</v>
      </c>
      <c r="CE18" s="289">
        <f>DSUM(_xlnm.Database,FILESTAT!CE$3,bfy2001_)</f>
        <v>0</v>
      </c>
      <c r="CF18" s="111">
        <f>DSUM(_xlnm.Database,FILESTAT!CF$3,bfy2001_)</f>
        <v>0</v>
      </c>
      <c r="CG18" s="111">
        <f>DSUM(_xlnm.Database,FILESTAT!CG$3,bfy2001_)</f>
        <v>0</v>
      </c>
      <c r="CH18" s="111">
        <f>DSUM(_xlnm.Database,FILESTAT!CH$3,bfy2001_)</f>
        <v>0</v>
      </c>
      <c r="CI18" s="111">
        <f>DSUM(_xlnm.Database,FILESTAT!CI$3,bfy2001_)</f>
        <v>0</v>
      </c>
      <c r="CJ18" s="111">
        <f>DSUM(_xlnm.Database,FILESTAT!CJ$3,bfy2001_)</f>
        <v>0</v>
      </c>
      <c r="CK18" s="289">
        <f>DSUM(_xlnm.Database,FILESTAT!CK$3,bfy2001_)</f>
        <v>0</v>
      </c>
      <c r="CL18" s="111">
        <f>DSUM(_xlnm.Database,FILESTAT!CL$3,bfy2001_)</f>
        <v>0</v>
      </c>
      <c r="CM18" s="111">
        <f>DSUM(_xlnm.Database,FILESTAT!CM$3,bfy2001_)</f>
        <v>0</v>
      </c>
      <c r="CN18" s="111">
        <f>DSUM(_xlnm.Database,FILESTAT!CN$3,bfy2001_)</f>
        <v>0</v>
      </c>
      <c r="CO18" s="111">
        <f>DSUM(_xlnm.Database,FILESTAT!CO$3,bfy2001_)</f>
        <v>0</v>
      </c>
      <c r="CP18" s="289">
        <f>DSUM(_xlnm.Database,FILESTAT!CP$3,bfy2001_)</f>
        <v>0</v>
      </c>
      <c r="CQ18" s="111">
        <f>DSUM(_xlnm.Database,FILESTAT!CQ$3,bfy2001_)</f>
        <v>0</v>
      </c>
      <c r="CR18" s="111">
        <f>DSUM(_xlnm.Database,FILESTAT!CR$3,bfy2001_)</f>
        <v>0</v>
      </c>
      <c r="CS18" s="111">
        <f>DSUM(_xlnm.Database,FILESTAT!CS$3,bfy2001_)</f>
        <v>0</v>
      </c>
      <c r="CT18" s="111">
        <f>DSUM(_xlnm.Database,FILESTAT!CT$3,bfy2001_)</f>
        <v>0</v>
      </c>
      <c r="CU18" s="289">
        <f>DSUM(_xlnm.Database,FILESTAT!CU$3,bfy2001_)</f>
        <v>0</v>
      </c>
      <c r="CV18" s="111">
        <f>DSUM(_xlnm.Database,FILESTAT!CV$3,bfy2001_)</f>
        <v>0</v>
      </c>
      <c r="CW18" s="111">
        <f>DSUM(_xlnm.Database,FILESTAT!CW$3,bfy2001_)</f>
        <v>0</v>
      </c>
      <c r="CX18" s="111">
        <f>DSUM(_xlnm.Database,FILESTAT!CX$3,bfy2001_)</f>
        <v>0</v>
      </c>
      <c r="CY18" s="111">
        <f>DSUM(_xlnm.Database,FILESTAT!CY$3,bfy2001_)</f>
        <v>0</v>
      </c>
      <c r="CZ18" s="111">
        <f>DSUM(_xlnm.Database,FILESTAT!CZ$3,bfy2001_)</f>
        <v>0</v>
      </c>
      <c r="DA18" s="111">
        <f>DSUM(_xlnm.Database,FILESTAT!DA$3,bfy2001_)</f>
        <v>0</v>
      </c>
      <c r="DB18" s="111">
        <f>DSUM(_xlnm.Database,FILESTAT!DB$3,bfy2001_)</f>
        <v>0</v>
      </c>
      <c r="DC18" s="111">
        <f>DSUM(_xlnm.Database,FILESTAT!DC$3,bfy2001_)</f>
        <v>0</v>
      </c>
      <c r="DD18" s="111">
        <f>DSUM(_xlnm.Database,FILESTAT!DD$3,bfy2001_)</f>
        <v>0</v>
      </c>
      <c r="DE18" s="111">
        <f>DSUM(_xlnm.Database,FILESTAT!DE$3,bfy2001_)</f>
        <v>0</v>
      </c>
      <c r="DF18" s="111">
        <f>DSUM(_xlnm.Database,FILESTAT!DF$3,bfy2001_)</f>
        <v>0</v>
      </c>
      <c r="DG18" s="111">
        <f>DSUM(_xlnm.Database,FILESTAT!DG$3,bfy2001_)</f>
        <v>0</v>
      </c>
      <c r="DH18" s="111">
        <f>DSUM(_xlnm.Database,FILESTAT!DH$3,bfy2001_)</f>
        <v>0</v>
      </c>
      <c r="DI18" s="111">
        <f>DSUM(_xlnm.Database,FILESTAT!DI$3,bfy2001_)</f>
        <v>0</v>
      </c>
      <c r="DJ18" s="111">
        <f>DSUM(_xlnm.Database,FILESTAT!DJ$3,bfy2001_)</f>
        <v>0</v>
      </c>
      <c r="DK18" s="111">
        <f>DSUM(_xlnm.Database,FILESTAT!DK$3,bfy2001_)</f>
        <v>0</v>
      </c>
      <c r="DL18" s="111">
        <f>DSUM(_xlnm.Database,FILESTAT!DL$3,bfy2001_)</f>
        <v>0</v>
      </c>
      <c r="DM18" s="111">
        <f>DSUM(_xlnm.Database,FILESTAT!DM$3,bfy2001_)</f>
        <v>0</v>
      </c>
      <c r="DN18" s="111">
        <f>DSUM(_xlnm.Database,FILESTAT!DN$3,bfy2001_)</f>
        <v>0</v>
      </c>
      <c r="DO18" s="111">
        <f>DSUM(_xlnm.Database,FILESTAT!DO$3,bfy2001_)</f>
        <v>0</v>
      </c>
      <c r="DP18" s="111">
        <f>DSUM(_xlnm.Database,FILESTAT!DP$3,bfy2001_)</f>
        <v>0</v>
      </c>
      <c r="DQ18" s="111">
        <f>DSUM(_xlnm.Database,FILESTAT!DQ$3,bfy2001_)</f>
        <v>0</v>
      </c>
      <c r="DS18" s="111">
        <f>DSUM(_xlnm.Database,FILESTAT!DS$3,bfy2001_)</f>
        <v>0</v>
      </c>
      <c r="DT18" s="111">
        <f>DSUM(_xlnm.Database,FILESTAT!DT$3,bfy2001_)</f>
        <v>0</v>
      </c>
      <c r="DU18" s="111">
        <f>DSUM(_xlnm.Database,FILESTAT!DU$3,bfy2001_)</f>
        <v>0</v>
      </c>
      <c r="DV18" s="127">
        <f t="shared" si="0"/>
        <v>0</v>
      </c>
      <c r="DW18" s="129" t="str">
        <f t="shared" si="1"/>
        <v>PROB</v>
      </c>
    </row>
    <row r="19" spans="1:130" s="111" customFormat="1">
      <c r="A19" s="119">
        <v>2002</v>
      </c>
      <c r="B19" s="189"/>
      <c r="C19" s="110">
        <f>DSUM(_xlnm.Database,FILESTAT!C$3,bfy2002_)</f>
        <v>48</v>
      </c>
      <c r="D19" s="111">
        <f>DSUM(_xlnm.Database,FILESTAT!D$3,bfy2002_)</f>
        <v>361</v>
      </c>
      <c r="E19" s="111">
        <f>DSUM(_xlnm.Database,FILESTAT!E$3,bfy2002_)</f>
        <v>22</v>
      </c>
      <c r="F19" s="111">
        <f>DSUM(_xlnm.Database,FILESTAT!F$3,bfy2002_)</f>
        <v>12</v>
      </c>
      <c r="G19" s="111">
        <f>DSUM(_xlnm.Database,FILESTAT!G$3,bfy2002_)</f>
        <v>33</v>
      </c>
      <c r="H19" s="111">
        <f>DSUM(_xlnm.Database,FILESTAT!H$3,bfy2002_)</f>
        <v>20</v>
      </c>
      <c r="I19" s="111">
        <f>DSUM(_xlnm.Database,FILESTAT!I$3,bfy2002_)</f>
        <v>0</v>
      </c>
      <c r="J19" s="111">
        <f>DSUM(_xlnm.Database,FILESTAT!J$3,bfy2002_)</f>
        <v>447</v>
      </c>
      <c r="K19" s="111">
        <f>DSUM(_xlnm.Database,FILESTAT!K$3,bfy2002_)</f>
        <v>14</v>
      </c>
      <c r="L19" s="111">
        <f>DSUM(_xlnm.Database,FILESTAT!L$3,bfy2002_)</f>
        <v>2</v>
      </c>
      <c r="M19" s="111">
        <f>DSUM(_xlnm.Database,FILESTAT!M$3,bfy2002_)</f>
        <v>1</v>
      </c>
      <c r="N19" s="111">
        <f>DSUM(_xlnm.Database,FILESTAT!N$3,bfy2002_)</f>
        <v>0</v>
      </c>
      <c r="O19" s="111">
        <f>DSUM(_xlnm.Database,FILESTAT!O$3,bfy2002_)</f>
        <v>121</v>
      </c>
      <c r="P19" s="111">
        <f>DSUM(_xlnm.Database,FILESTAT!P$3,bfy2002_)</f>
        <v>13</v>
      </c>
      <c r="Q19" s="111">
        <f>DSUM(_xlnm.Database,FILESTAT!Q$3,bfy2002_)</f>
        <v>4</v>
      </c>
      <c r="R19" s="112">
        <f>DSUM(_xlnm.Database,FILESTAT!R$3,bfy2002_)</f>
        <v>12</v>
      </c>
      <c r="S19" s="120">
        <f>IF(SUM(C19:R19)=FILESTAT!S434,SUM(C19:R19),"PROBLEM")</f>
        <v>1110</v>
      </c>
      <c r="T19" s="110">
        <f>DSUM(_xlnm.Database,FILESTAT!T$3,bfy2002_)</f>
        <v>24</v>
      </c>
      <c r="U19" s="110">
        <f>DSUM(_xlnm.Database,FILESTAT!U$3,bfy2002_)</f>
        <v>271</v>
      </c>
      <c r="V19" s="111">
        <f>DSUM(_xlnm.Database,FILESTAT!V$3,bfy2002_)</f>
        <v>0</v>
      </c>
      <c r="W19" s="111">
        <f>DSUM(_xlnm.Database,FILESTAT!W$3,bfy2002_)</f>
        <v>0</v>
      </c>
      <c r="X19" s="112">
        <f>DSUM(_xlnm.Database,FILESTAT!X$3,bfy2002_)</f>
        <v>10</v>
      </c>
      <c r="Z19" s="110">
        <f>DSUM(_xlnm.Database,FILESTAT!Z$3,bfy2002_)</f>
        <v>42922007</v>
      </c>
      <c r="AA19" s="111">
        <f>DSUM(_xlnm.Database,FILESTAT!AA$3,bfy2002_)</f>
        <v>4685178</v>
      </c>
      <c r="AC19" s="110">
        <f>DSUM(_xlnm.Database,FILESTAT!AC$3,bfy2002_)</f>
        <v>13912054</v>
      </c>
      <c r="AD19" s="111">
        <f>DSUM(_xlnm.Database,FILESTAT!AD$3,bfy2002_)</f>
        <v>6464517</v>
      </c>
      <c r="AE19" s="120">
        <f t="shared" ref="AE19:AE26" si="5">SUM(AC19:AD19)</f>
        <v>20376571</v>
      </c>
      <c r="AG19" s="110">
        <f>DSUM(_xlnm.Database,FILESTAT!AG$3,bfy2002_)</f>
        <v>1787</v>
      </c>
      <c r="AH19" s="111">
        <f>DSUM(_xlnm.Database,FILESTAT!AH$3,bfy2002_)</f>
        <v>942</v>
      </c>
      <c r="AI19" s="111">
        <f>DSUM(_xlnm.Database,FILESTAT!AI$3,bfy2002_)</f>
        <v>3099</v>
      </c>
      <c r="AJ19" s="112">
        <f>DSUM(_xlnm.Database,FILESTAT!AJ$3,bfy2002_)</f>
        <v>148</v>
      </c>
      <c r="AL19" s="121">
        <f>DAVERAGE(_xlnm.Database,FILESTAT!AL$3,bfy2002_)</f>
        <v>34</v>
      </c>
      <c r="AM19" s="122">
        <f>DAVERAGE(_xlnm.Database,FILESTAT!AM$3,bfy2002_)</f>
        <v>61.5</v>
      </c>
      <c r="AN19" s="120">
        <f t="shared" si="2"/>
        <v>96</v>
      </c>
      <c r="AO19" s="122">
        <f>DAVERAGE(_xlnm.Database,FILESTAT!AO$3,bfy2002_)</f>
        <v>50</v>
      </c>
      <c r="AP19" s="122">
        <f>DAVERAGE(_xlnm.Database,FILESTAT!AP$3,bfy2002_)</f>
        <v>8.25</v>
      </c>
      <c r="AQ19" s="120">
        <f t="shared" si="3"/>
        <v>58</v>
      </c>
      <c r="AR19" s="122">
        <f>ROUND(DAVERAGE(_xlnm.Database,FILESTAT!AR$3,bfy2002_),0)</f>
        <v>153</v>
      </c>
      <c r="AS19" s="122">
        <f>DAVERAGE(_xlnm.Database,FILESTAT!AS$3,bfy2002_)</f>
        <v>44</v>
      </c>
      <c r="AT19" s="122">
        <f>DAVERAGE(_xlnm.Database,FILESTAT!AT$3,bfy2002_)</f>
        <v>145.9</v>
      </c>
      <c r="AU19" s="122">
        <f>DAVERAGE(_xlnm.Database,FILESTAT!AU$3,bfy2002_)</f>
        <v>25.9</v>
      </c>
      <c r="AV19" s="123">
        <f>DAVERAGE(_xlnm.Database,FILESTAT!AV$3,bfy2002_)</f>
        <v>221.6</v>
      </c>
      <c r="AW19"/>
      <c r="AX19" s="356"/>
      <c r="AY19"/>
      <c r="BA19" s="121">
        <f>ROUND(DAVERAGE(_xlnm.Database,FILESTAT!BA$3,bfy2002_),0)</f>
        <v>1713</v>
      </c>
      <c r="BB19" s="122">
        <f>DAVERAGE(_xlnm.Database,FILESTAT!BB$3,bfy2002_)</f>
        <v>33795740.166666664</v>
      </c>
      <c r="BC19" s="122"/>
      <c r="BD19" s="122"/>
      <c r="BE19" s="111">
        <f>DSUM(_xlnm.Database,FILESTAT!BE$3,bfy2002_)</f>
        <v>878</v>
      </c>
      <c r="BF19" s="111">
        <f>DSUM(_xlnm.Database,FILESTAT!BF$3,bfy2002_)</f>
        <v>50</v>
      </c>
      <c r="BG19" s="111">
        <f>DSUM(_xlnm.Database,FILESTAT!BG$3,bfy2002_)</f>
        <v>24</v>
      </c>
      <c r="BI19" s="122">
        <f>DAVERAGE(_xlnm.Database,FILESTAT!BI$3,bfy2002_)</f>
        <v>2199434.75</v>
      </c>
      <c r="BJ19" s="122"/>
      <c r="BK19" s="122"/>
      <c r="BL19" s="122">
        <f>DAVERAGE(_xlnm.Database,FILESTAT!BL$3,bfy2002_)</f>
        <v>77.666666666666671</v>
      </c>
      <c r="BM19" s="112">
        <f>DSUM(_xlnm.Database,FILESTAT!BM$3,bfy2002_)</f>
        <v>4280</v>
      </c>
      <c r="BO19" s="121"/>
      <c r="BP19" s="123">
        <f>DAVERAGE(_xlnm.Database,FILESTAT!BP$3,bfy2002_)</f>
        <v>156.25</v>
      </c>
      <c r="BR19" s="236"/>
      <c r="BS19" s="126"/>
      <c r="BT19" s="237"/>
      <c r="BV19" s="110">
        <f>DSUM(_xlnm.Database,FILESTAT!BV$3,bfy2002_)</f>
        <v>28</v>
      </c>
      <c r="BW19" s="111">
        <f>DSUM(_xlnm.Database,FILESTAT!BW$3,bfy2002_)</f>
        <v>42</v>
      </c>
      <c r="BX19" s="111">
        <f>DSUM(_xlnm.Database,FILESTAT!BX$3,bfy2002_)</f>
        <v>33</v>
      </c>
      <c r="BY19" s="111">
        <f>DSUM(_xlnm.Database,FILESTAT!BY$3,bfy2002_)</f>
        <v>0</v>
      </c>
      <c r="BZ19" s="111">
        <f>DSUM(_xlnm.Database,FILESTAT!BZ$3,bfy2002_)</f>
        <v>0</v>
      </c>
      <c r="CA19" s="111">
        <f>DSUM(_xlnm.Database,FILESTAT!CA$3,bfy2002_)</f>
        <v>0</v>
      </c>
      <c r="CB19" s="111">
        <f>DSUM(_xlnm.Database,FILESTAT!CB$3,bfy2002_)</f>
        <v>0</v>
      </c>
      <c r="CC19" s="289">
        <f>DSUM(_xlnm.Database,FILESTAT!CC$3,bfy2002_)</f>
        <v>0</v>
      </c>
      <c r="CD19" s="111">
        <f>DSUM(_xlnm.Database,FILESTAT!CD$3,bfy2002_)</f>
        <v>73</v>
      </c>
      <c r="CE19" s="289">
        <f>DSUM(_xlnm.Database,FILESTAT!CE$3,bfy2002_)</f>
        <v>0</v>
      </c>
      <c r="CF19" s="111">
        <f>DSUM(_xlnm.Database,FILESTAT!CF$3,bfy2002_)</f>
        <v>21</v>
      </c>
      <c r="CG19" s="111">
        <f>DSUM(_xlnm.Database,FILESTAT!CG$3,bfy2002_)</f>
        <v>17</v>
      </c>
      <c r="CH19" s="111">
        <f>DSUM(_xlnm.Database,FILESTAT!CH$3,bfy2002_)</f>
        <v>0</v>
      </c>
      <c r="CI19" s="111">
        <f>DSUM(_xlnm.Database,FILESTAT!CI$3,bfy2002_)</f>
        <v>44</v>
      </c>
      <c r="CJ19" s="111">
        <f>DSUM(_xlnm.Database,FILESTAT!CJ$3,bfy2002_)</f>
        <v>86</v>
      </c>
      <c r="CK19" s="289">
        <f>DSUM(_xlnm.Database,FILESTAT!CK$3,bfy2002_)</f>
        <v>0</v>
      </c>
      <c r="CL19" s="111">
        <f>DSUM(_xlnm.Database,FILESTAT!CL$3,bfy2002_)</f>
        <v>0</v>
      </c>
      <c r="CM19" s="111">
        <f>DSUM(_xlnm.Database,FILESTAT!CM$3,bfy2002_)</f>
        <v>2</v>
      </c>
      <c r="CN19" s="111">
        <f>DSUM(_xlnm.Database,FILESTAT!CN$3,bfy2002_)</f>
        <v>1</v>
      </c>
      <c r="CO19" s="111">
        <f>DSUM(_xlnm.Database,FILESTAT!CO$3,bfy2002_)</f>
        <v>61</v>
      </c>
      <c r="CP19" s="289">
        <f>DSUM(_xlnm.Database,FILESTAT!CP$3,bfy2002_)</f>
        <v>0</v>
      </c>
      <c r="CQ19" s="111">
        <f>DSUM(_xlnm.Database,FILESTAT!CQ$3,bfy2002_)</f>
        <v>0</v>
      </c>
      <c r="CR19" s="111">
        <f>DSUM(_xlnm.Database,FILESTAT!CR$3,bfy2002_)</f>
        <v>0</v>
      </c>
      <c r="CS19" s="111">
        <f>DSUM(_xlnm.Database,FILESTAT!CS$3,bfy2002_)</f>
        <v>22</v>
      </c>
      <c r="CT19" s="111">
        <f>DSUM(_xlnm.Database,FILESTAT!CT$3,bfy2002_)</f>
        <v>38</v>
      </c>
      <c r="CU19" s="289">
        <f>DSUM(_xlnm.Database,FILESTAT!CU$3,bfy2002_)</f>
        <v>0</v>
      </c>
      <c r="CV19" s="111">
        <f>DSUM(_xlnm.Database,FILESTAT!CV$3,bfy2002_)</f>
        <v>57</v>
      </c>
      <c r="CW19" s="111">
        <f>DSUM(_xlnm.Database,FILESTAT!CW$3,bfy2002_)</f>
        <v>0</v>
      </c>
      <c r="CX19" s="111">
        <f>DSUM(_xlnm.Database,FILESTAT!CX$3,bfy2002_)</f>
        <v>0</v>
      </c>
      <c r="CY19" s="111">
        <f>DSUM(_xlnm.Database,FILESTAT!CY$3,bfy2002_)</f>
        <v>26</v>
      </c>
      <c r="CZ19" s="111">
        <f>DSUM(_xlnm.Database,FILESTAT!CZ$3,bfy2002_)</f>
        <v>1</v>
      </c>
      <c r="DA19" s="111">
        <f>DSUM(_xlnm.Database,FILESTAT!DA$3,bfy2002_)</f>
        <v>0</v>
      </c>
      <c r="DB19" s="111">
        <f>DSUM(_xlnm.Database,FILESTAT!DB$3,bfy2002_)</f>
        <v>113</v>
      </c>
      <c r="DC19" s="111">
        <f>DSUM(_xlnm.Database,FILESTAT!DC$3,bfy2002_)</f>
        <v>0</v>
      </c>
      <c r="DD19" s="111">
        <f>DSUM(_xlnm.Database,FILESTAT!DD$3,bfy2002_)</f>
        <v>0</v>
      </c>
      <c r="DE19" s="111">
        <f>DSUM(_xlnm.Database,FILESTAT!DE$3,bfy2002_)</f>
        <v>0</v>
      </c>
      <c r="DF19" s="111">
        <f>DSUM(_xlnm.Database,FILESTAT!DF$3,bfy2002_)</f>
        <v>0</v>
      </c>
      <c r="DG19" s="111">
        <f>DSUM(_xlnm.Database,FILESTAT!DG$3,bfy2002_)</f>
        <v>26</v>
      </c>
      <c r="DH19" s="111">
        <f>DSUM(_xlnm.Database,FILESTAT!DH$3,bfy2002_)</f>
        <v>6</v>
      </c>
      <c r="DI19" s="111">
        <f>DSUM(_xlnm.Database,FILESTAT!DI$3,bfy2002_)</f>
        <v>16</v>
      </c>
      <c r="DJ19" s="111">
        <f>DSUM(_xlnm.Database,FILESTAT!DJ$3,bfy2002_)</f>
        <v>8</v>
      </c>
      <c r="DK19" s="111">
        <f>DSUM(_xlnm.Database,FILESTAT!DK$3,bfy2002_)</f>
        <v>0</v>
      </c>
      <c r="DL19" s="111">
        <f>DSUM(_xlnm.Database,FILESTAT!DL$3,bfy2002_)</f>
        <v>0</v>
      </c>
      <c r="DM19" s="111">
        <f>DSUM(_xlnm.Database,FILESTAT!DM$3,bfy2002_)</f>
        <v>50</v>
      </c>
      <c r="DN19" s="111">
        <f>DSUM(_xlnm.Database,FILESTAT!DN$3,bfy2002_)</f>
        <v>0</v>
      </c>
      <c r="DO19" s="111">
        <f>DSUM(_xlnm.Database,FILESTAT!DO$3,bfy2002_)</f>
        <v>42</v>
      </c>
      <c r="DP19" s="111">
        <f>DSUM(_xlnm.Database,FILESTAT!DP$3,bfy2002_)</f>
        <v>0</v>
      </c>
      <c r="DQ19" s="111">
        <f>DSUM(_xlnm.Database,FILESTAT!DQ$3,bfy2002_)</f>
        <v>0</v>
      </c>
      <c r="DS19" s="111">
        <f>DSUM(_xlnm.Database,FILESTAT!DS$3,bfy2002_)</f>
        <v>35</v>
      </c>
      <c r="DT19" s="111">
        <f>DSUM(_xlnm.Database,FILESTAT!DT$3,bfy2002_)</f>
        <v>12</v>
      </c>
      <c r="DU19" s="111">
        <f>DSUM(_xlnm.Database,FILESTAT!DU$3,bfy2002_)</f>
        <v>12</v>
      </c>
      <c r="DV19" s="127">
        <f t="shared" si="0"/>
        <v>872</v>
      </c>
      <c r="DW19" s="129" t="str">
        <f t="shared" si="1"/>
        <v>PROB</v>
      </c>
    </row>
    <row r="20" spans="1:130" s="111" customFormat="1">
      <c r="A20" s="119">
        <v>2003</v>
      </c>
      <c r="B20" s="189"/>
      <c r="C20" s="110">
        <f>DSUM(_xlnm.Database,FILESTAT!C$3,bfy2003_)</f>
        <v>56</v>
      </c>
      <c r="D20" s="111">
        <f>DSUM(_xlnm.Database,FILESTAT!D$3,bfy2003_)</f>
        <v>407</v>
      </c>
      <c r="E20" s="111">
        <f>DSUM(_xlnm.Database,FILESTAT!E$3,bfy2003_)</f>
        <v>39</v>
      </c>
      <c r="F20" s="111">
        <f>DSUM(_xlnm.Database,FILESTAT!F$3,bfy2003_)</f>
        <v>13</v>
      </c>
      <c r="G20" s="111">
        <f>DSUM(_xlnm.Database,FILESTAT!G$3,bfy2003_)</f>
        <v>24</v>
      </c>
      <c r="H20" s="111">
        <f>DSUM(_xlnm.Database,FILESTAT!H$3,bfy2003_)</f>
        <v>41</v>
      </c>
      <c r="I20" s="111">
        <f>DSUM(_xlnm.Database,FILESTAT!I$3,bfy2003_)</f>
        <v>0</v>
      </c>
      <c r="J20" s="111">
        <f>DSUM(_xlnm.Database,FILESTAT!J$3,bfy2003_)</f>
        <v>645</v>
      </c>
      <c r="K20" s="111">
        <f>DSUM(_xlnm.Database,FILESTAT!K$3,bfy2003_)</f>
        <v>24</v>
      </c>
      <c r="L20" s="111">
        <f>DSUM(_xlnm.Database,FILESTAT!L$3,bfy2003_)</f>
        <v>5</v>
      </c>
      <c r="M20" s="111">
        <f>DSUM(_xlnm.Database,FILESTAT!M$3,bfy2003_)</f>
        <v>0</v>
      </c>
      <c r="N20" s="111">
        <f>DSUM(_xlnm.Database,FILESTAT!N$3,bfy2003_)</f>
        <v>0</v>
      </c>
      <c r="O20" s="111">
        <f>DSUM(_xlnm.Database,FILESTAT!O$3,bfy2003_)</f>
        <v>120</v>
      </c>
      <c r="P20" s="111">
        <f>DSUM(_xlnm.Database,FILESTAT!P$3,bfy2003_)</f>
        <v>18</v>
      </c>
      <c r="Q20" s="111">
        <f>DSUM(_xlnm.Database,FILESTAT!Q$3,bfy2003_)</f>
        <v>24</v>
      </c>
      <c r="R20" s="112">
        <f>DSUM(_xlnm.Database,FILESTAT!R$3,bfy2003_)</f>
        <v>47</v>
      </c>
      <c r="S20" s="120">
        <f>IF(SUM(C20:R20)=FILESTAT!S465,SUM(C20:R20),"PROBLEM")</f>
        <v>1463</v>
      </c>
      <c r="T20" s="110">
        <f>DSUM(_xlnm.Database,FILESTAT!T$3,bfy2003_)</f>
        <v>0</v>
      </c>
      <c r="U20" s="110">
        <f>DSUM(_xlnm.Database,FILESTAT!U$3,bfy2003_)</f>
        <v>392</v>
      </c>
      <c r="V20" s="111">
        <f>DSUM(_xlnm.Database,FILESTAT!V$3,bfy2003_)</f>
        <v>0</v>
      </c>
      <c r="W20" s="111">
        <f>DSUM(_xlnm.Database,FILESTAT!W$3,bfy2003_)</f>
        <v>13</v>
      </c>
      <c r="X20" s="112">
        <f>DSUM(_xlnm.Database,FILESTAT!X$3,bfy2003_)</f>
        <v>10</v>
      </c>
      <c r="Z20" s="110">
        <f>DSUM(_xlnm.Database,FILESTAT!Z$3,bfy2003_)</f>
        <v>32077476</v>
      </c>
      <c r="AA20" s="111">
        <f>DSUM(_xlnm.Database,FILESTAT!AA$3,bfy2003_)</f>
        <v>0</v>
      </c>
      <c r="AC20" s="110">
        <f>DSUM(_xlnm.Database,FILESTAT!AC$3,bfy2003_)</f>
        <v>22217196</v>
      </c>
      <c r="AD20" s="111">
        <f>DSUM(_xlnm.Database,FILESTAT!AD$3,bfy2003_)</f>
        <v>0</v>
      </c>
      <c r="AE20" s="120">
        <f t="shared" si="5"/>
        <v>22217196</v>
      </c>
      <c r="AG20" s="110">
        <f>DSUM(_xlnm.Database,FILESTAT!AG$3,bfy2003_)</f>
        <v>2114</v>
      </c>
      <c r="AH20" s="111">
        <f>DSUM(_xlnm.Database,FILESTAT!AH$3,bfy2003_)</f>
        <v>383</v>
      </c>
      <c r="AI20" s="111">
        <f>DSUM(_xlnm.Database,FILESTAT!AI$3,bfy2003_)</f>
        <v>2816</v>
      </c>
      <c r="AJ20" s="112">
        <f>DSUM(_xlnm.Database,FILESTAT!AJ$3,bfy2003_)</f>
        <v>0</v>
      </c>
      <c r="AL20" s="121">
        <f>DAVERAGE(_xlnm.Database,FILESTAT!AL$3,bfy2003_)</f>
        <v>28.333333333333332</v>
      </c>
      <c r="AM20" s="122">
        <f>DAVERAGE(_xlnm.Database,FILESTAT!AM$3,bfy2003_)</f>
        <v>56.5</v>
      </c>
      <c r="AN20" s="120">
        <f t="shared" ref="AN20:AN25" si="6">ROUND(SUM(AL20:AM20),0)</f>
        <v>85</v>
      </c>
      <c r="AO20" s="122"/>
      <c r="AP20" s="122"/>
      <c r="AQ20" s="120">
        <f t="shared" ref="AQ20:AQ25" si="7">ROUND(SUM(AO20:AP20),0)</f>
        <v>0</v>
      </c>
      <c r="AR20" s="122">
        <f>ROUND(DAVERAGE(_xlnm.Database,FILESTAT!AR$3,bfy2003_),0)</f>
        <v>156</v>
      </c>
      <c r="AS20" s="122">
        <f>DAVERAGE(_xlnm.Database,FILESTAT!AS$3,bfy2003_)</f>
        <v>42.916666666666664</v>
      </c>
      <c r="AT20" s="122">
        <f>DAVERAGE(_xlnm.Database,FILESTAT!AT$3,bfy2003_)</f>
        <v>111.08333333333333</v>
      </c>
      <c r="AU20" s="122">
        <f>DAVERAGE(_xlnm.Database,FILESTAT!AU$3,bfy2003_)</f>
        <v>21.833333333333332</v>
      </c>
      <c r="AV20" s="123">
        <f>DAVERAGE(_xlnm.Database,FILESTAT!AV$3,bfy2003_)</f>
        <v>184.5</v>
      </c>
      <c r="AW20"/>
      <c r="AX20" s="356"/>
      <c r="AY20"/>
      <c r="BA20" s="121">
        <f>ROUND(DAVERAGE(_xlnm.Database,FILESTAT!BA$3,bfy2003_),0)</f>
        <v>1724</v>
      </c>
      <c r="BB20" s="122">
        <f>DAVERAGE(_xlnm.Database,FILESTAT!BB$3,bfy2003_)</f>
        <v>30921401.75</v>
      </c>
      <c r="BC20" s="122"/>
      <c r="BD20" s="122"/>
      <c r="BE20" s="111">
        <f>DSUM(_xlnm.Database,FILESTAT!BE$3,bfy2003_)</f>
        <v>1021</v>
      </c>
      <c r="BF20" s="111">
        <f>DSUM(_xlnm.Database,FILESTAT!BF$3,bfy2003_)</f>
        <v>47</v>
      </c>
      <c r="BG20" s="111">
        <f>DSUM(_xlnm.Database,FILESTAT!BG$3,bfy2003_)</f>
        <v>42</v>
      </c>
      <c r="BI20" s="122">
        <f>DAVERAGE(_xlnm.Database,FILESTAT!BI$3,bfy2003_)</f>
        <v>2217815.9166666665</v>
      </c>
      <c r="BJ20" s="122"/>
      <c r="BK20" s="122"/>
      <c r="BL20" s="122">
        <f>DAVERAGE(_xlnm.Database,FILESTAT!BL$3,bfy2003_)</f>
        <v>74.083333333333329</v>
      </c>
      <c r="BM20" s="112">
        <f>DSUM(_xlnm.Database,FILESTAT!BM$3,bfy2003_)</f>
        <v>4298</v>
      </c>
      <c r="BO20" s="121"/>
      <c r="BP20" s="123">
        <f>DAVERAGE(_xlnm.Database,FILESTAT!BP$3,bfy2003_)</f>
        <v>155.25</v>
      </c>
      <c r="BR20" s="236"/>
      <c r="BS20" s="126"/>
      <c r="BT20" s="237"/>
      <c r="BV20" s="110">
        <f>DSUM(_xlnm.Database,FILESTAT!BV$3,bfy2003_)</f>
        <v>53</v>
      </c>
      <c r="BW20" s="111">
        <f>DSUM(_xlnm.Database,FILESTAT!BW$3,bfy2003_)</f>
        <v>8</v>
      </c>
      <c r="BX20" s="111">
        <f>DSUM(_xlnm.Database,FILESTAT!BX$3,bfy2003_)</f>
        <v>18</v>
      </c>
      <c r="BY20" s="111">
        <f>DSUM(_xlnm.Database,FILESTAT!BY$3,bfy2003_)</f>
        <v>0</v>
      </c>
      <c r="BZ20" s="111">
        <f>DSUM(_xlnm.Database,FILESTAT!BZ$3,bfy2003_)</f>
        <v>0</v>
      </c>
      <c r="CA20" s="111">
        <f>DSUM(_xlnm.Database,FILESTAT!CA$3,bfy2003_)</f>
        <v>0</v>
      </c>
      <c r="CB20" s="111">
        <f>DSUM(_xlnm.Database,FILESTAT!CB$3,bfy2003_)</f>
        <v>0</v>
      </c>
      <c r="CC20" s="289">
        <f>DSUM(_xlnm.Database,FILESTAT!CC$3,bfy2003_)</f>
        <v>0</v>
      </c>
      <c r="CD20" s="111">
        <f>DSUM(_xlnm.Database,FILESTAT!CD$3,bfy2003_)</f>
        <v>125</v>
      </c>
      <c r="CE20" s="289">
        <f>DSUM(_xlnm.Database,FILESTAT!CE$3,bfy2003_)</f>
        <v>0</v>
      </c>
      <c r="CF20" s="111">
        <f>DSUM(_xlnm.Database,FILESTAT!CF$3,bfy2003_)</f>
        <v>36</v>
      </c>
      <c r="CG20" s="111">
        <f>DSUM(_xlnm.Database,FILESTAT!CG$3,bfy2003_)</f>
        <v>8</v>
      </c>
      <c r="CH20" s="111">
        <f>DSUM(_xlnm.Database,FILESTAT!CH$3,bfy2003_)</f>
        <v>0</v>
      </c>
      <c r="CI20" s="111">
        <f>DSUM(_xlnm.Database,FILESTAT!CI$3,bfy2003_)</f>
        <v>105</v>
      </c>
      <c r="CJ20" s="111">
        <f>DSUM(_xlnm.Database,FILESTAT!CJ$3,bfy2003_)</f>
        <v>143</v>
      </c>
      <c r="CK20" s="289">
        <f>DSUM(_xlnm.Database,FILESTAT!CK$3,bfy2003_)</f>
        <v>0</v>
      </c>
      <c r="CL20" s="111">
        <f>DSUM(_xlnm.Database,FILESTAT!CL$3,bfy2003_)</f>
        <v>0</v>
      </c>
      <c r="CM20" s="111">
        <f>DSUM(_xlnm.Database,FILESTAT!CM$3,bfy2003_)</f>
        <v>30</v>
      </c>
      <c r="CN20" s="111">
        <f>DSUM(_xlnm.Database,FILESTAT!CN$3,bfy2003_)</f>
        <v>0</v>
      </c>
      <c r="CO20" s="111">
        <f>DSUM(_xlnm.Database,FILESTAT!CO$3,bfy2003_)</f>
        <v>183</v>
      </c>
      <c r="CP20" s="289">
        <f>DSUM(_xlnm.Database,FILESTAT!CP$3,bfy2003_)</f>
        <v>0</v>
      </c>
      <c r="CQ20" s="111">
        <f>DSUM(_xlnm.Database,FILESTAT!CQ$3,bfy2003_)</f>
        <v>0</v>
      </c>
      <c r="CR20" s="111">
        <f>DSUM(_xlnm.Database,FILESTAT!CR$3,bfy2003_)</f>
        <v>0</v>
      </c>
      <c r="CS20" s="111">
        <f>DSUM(_xlnm.Database,FILESTAT!CS$3,bfy2003_)</f>
        <v>35</v>
      </c>
      <c r="CT20" s="111">
        <f>DSUM(_xlnm.Database,FILESTAT!CT$3,bfy2003_)</f>
        <v>145</v>
      </c>
      <c r="CU20" s="289">
        <f>DSUM(_xlnm.Database,FILESTAT!CU$3,bfy2003_)</f>
        <v>0</v>
      </c>
      <c r="CV20" s="111">
        <f>DSUM(_xlnm.Database,FILESTAT!CV$3,bfy2003_)</f>
        <v>54</v>
      </c>
      <c r="CW20" s="111">
        <f>DSUM(_xlnm.Database,FILESTAT!CW$3,bfy2003_)</f>
        <v>0</v>
      </c>
      <c r="CX20" s="111">
        <f>DSUM(_xlnm.Database,FILESTAT!CX$3,bfy2003_)</f>
        <v>0</v>
      </c>
      <c r="CY20" s="111">
        <f>DSUM(_xlnm.Database,FILESTAT!CY$3,bfy2003_)</f>
        <v>35</v>
      </c>
      <c r="CZ20" s="111">
        <f>DSUM(_xlnm.Database,FILESTAT!CZ$3,bfy2003_)</f>
        <v>0</v>
      </c>
      <c r="DA20" s="111">
        <f>DSUM(_xlnm.Database,FILESTAT!DA$3,bfy2003_)</f>
        <v>0</v>
      </c>
      <c r="DB20" s="111">
        <f>DSUM(_xlnm.Database,FILESTAT!DB$3,bfy2003_)</f>
        <v>126</v>
      </c>
      <c r="DC20" s="111">
        <f>DSUM(_xlnm.Database,FILESTAT!DC$3,bfy2003_)</f>
        <v>0</v>
      </c>
      <c r="DD20" s="111">
        <f>DSUM(_xlnm.Database,FILESTAT!DD$3,bfy2003_)</f>
        <v>0</v>
      </c>
      <c r="DE20" s="111">
        <f>DSUM(_xlnm.Database,FILESTAT!DE$3,bfy2003_)</f>
        <v>0</v>
      </c>
      <c r="DF20" s="111">
        <f>DSUM(_xlnm.Database,FILESTAT!DF$3,bfy2003_)</f>
        <v>0</v>
      </c>
      <c r="DG20" s="111">
        <f>DSUM(_xlnm.Database,FILESTAT!DG$3,bfy2003_)</f>
        <v>70</v>
      </c>
      <c r="DH20" s="111">
        <f>DSUM(_xlnm.Database,FILESTAT!DH$3,bfy2003_)</f>
        <v>20</v>
      </c>
      <c r="DI20" s="111">
        <f>DSUM(_xlnm.Database,FILESTAT!DI$3,bfy2003_)</f>
        <v>27</v>
      </c>
      <c r="DJ20" s="111">
        <f>DSUM(_xlnm.Database,FILESTAT!DJ$3,bfy2003_)</f>
        <v>30</v>
      </c>
      <c r="DK20" s="111">
        <f>DSUM(_xlnm.Database,FILESTAT!DK$3,bfy2003_)</f>
        <v>0</v>
      </c>
      <c r="DL20" s="111">
        <f>DSUM(_xlnm.Database,FILESTAT!DL$3,bfy2003_)</f>
        <v>0</v>
      </c>
      <c r="DM20" s="111">
        <f>DSUM(_xlnm.Database,FILESTAT!DM$3,bfy2003_)</f>
        <v>22</v>
      </c>
      <c r="DN20" s="111">
        <f>DSUM(_xlnm.Database,FILESTAT!DN$3,bfy2003_)</f>
        <v>0</v>
      </c>
      <c r="DO20" s="111">
        <f>DSUM(_xlnm.Database,FILESTAT!DO$3,bfy2003_)</f>
        <v>22</v>
      </c>
      <c r="DP20" s="111">
        <f>DSUM(_xlnm.Database,FILESTAT!DP$3,bfy2003_)</f>
        <v>0</v>
      </c>
      <c r="DQ20" s="111">
        <f>DSUM(_xlnm.Database,FILESTAT!DQ$3,bfy2003_)</f>
        <v>0</v>
      </c>
      <c r="DS20" s="111">
        <f>DSUM(_xlnm.Database,FILESTAT!DS$3,bfy2003_)</f>
        <v>36</v>
      </c>
      <c r="DT20" s="111">
        <f>DSUM(_xlnm.Database,FILESTAT!DT$3,bfy2003_)</f>
        <v>85</v>
      </c>
      <c r="DU20" s="111">
        <f>DSUM(_xlnm.Database,FILESTAT!DU$3,bfy2003_)</f>
        <v>47</v>
      </c>
      <c r="DV20" s="127">
        <f t="shared" ref="DV20:DV25" si="8">SUM(BV20:DU20)</f>
        <v>1463</v>
      </c>
      <c r="DW20" s="129" t="str">
        <f t="shared" si="1"/>
        <v/>
      </c>
      <c r="DZ20" s="130"/>
    </row>
    <row r="21" spans="1:130" s="111" customFormat="1">
      <c r="A21" s="119">
        <v>2004</v>
      </c>
      <c r="B21" s="189"/>
      <c r="C21" s="110">
        <f>DSUM(_xlnm.Database,FILESTAT!C$3,bfy2004_)</f>
        <v>56</v>
      </c>
      <c r="D21" s="111">
        <f>DSUM(_xlnm.Database,FILESTAT!D$3,bfy2004_)</f>
        <v>420</v>
      </c>
      <c r="E21" s="111">
        <f>DSUM(_xlnm.Database,FILESTAT!E$3,bfy2004_)</f>
        <v>26</v>
      </c>
      <c r="F21" s="111">
        <f>DSUM(_xlnm.Database,FILESTAT!F$3,bfy2004_)</f>
        <v>4</v>
      </c>
      <c r="G21" s="111">
        <f>DSUM(_xlnm.Database,FILESTAT!G$3,bfy2004_)</f>
        <v>28</v>
      </c>
      <c r="H21" s="111">
        <f>DSUM(_xlnm.Database,FILESTAT!H$3,bfy2004_)</f>
        <v>15</v>
      </c>
      <c r="I21" s="111">
        <f>DSUM(_xlnm.Database,FILESTAT!I$3,bfy2004_)</f>
        <v>0</v>
      </c>
      <c r="J21" s="111">
        <f>DSUM(_xlnm.Database,FILESTAT!J$3,bfy2004_)</f>
        <v>225</v>
      </c>
      <c r="K21" s="111">
        <f>DSUM(_xlnm.Database,FILESTAT!K$3,bfy2004_)</f>
        <v>13</v>
      </c>
      <c r="L21" s="111">
        <f>DSUM(_xlnm.Database,FILESTAT!L$3,bfy2004_)</f>
        <v>3</v>
      </c>
      <c r="M21" s="111">
        <f>DSUM(_xlnm.Database,FILESTAT!M$3,bfy2004_)</f>
        <v>0</v>
      </c>
      <c r="N21" s="111">
        <f>DSUM(_xlnm.Database,FILESTAT!N$3,bfy2004_)</f>
        <v>0</v>
      </c>
      <c r="O21" s="111">
        <f>DSUM(_xlnm.Database,FILESTAT!O$3,bfy2004_)</f>
        <v>78</v>
      </c>
      <c r="P21" s="111">
        <f>DSUM(_xlnm.Database,FILESTAT!P$3,bfy2004_)</f>
        <v>18</v>
      </c>
      <c r="Q21" s="111">
        <f>DSUM(_xlnm.Database,FILESTAT!Q$3,bfy2004_)</f>
        <v>3</v>
      </c>
      <c r="R21" s="112">
        <f>DSUM(_xlnm.Database,FILESTAT!R$3,bfy2004_)</f>
        <v>18</v>
      </c>
      <c r="S21" s="120">
        <f>IF(SUM(C21:R21)=FILESTAT!S496,SUM(C21:R21),"PROBLEM")</f>
        <v>907</v>
      </c>
      <c r="T21" s="110">
        <f>DSUM(_xlnm.Database,FILESTAT!T$3,bfy2004_)</f>
        <v>0</v>
      </c>
      <c r="U21" s="110">
        <f>DSUM(_xlnm.Database,FILESTAT!U$3,bfy2004_)</f>
        <v>380</v>
      </c>
      <c r="V21" s="111">
        <f>DSUM(_xlnm.Database,FILESTAT!V$3,bfy2004_)</f>
        <v>0</v>
      </c>
      <c r="W21" s="111">
        <f>DSUM(_xlnm.Database,FILESTAT!W$3,bfy2004_)</f>
        <v>0</v>
      </c>
      <c r="X21" s="112">
        <f>DSUM(_xlnm.Database,FILESTAT!X$3,bfy2004_)</f>
        <v>6</v>
      </c>
      <c r="Z21" s="110">
        <f>DSUM(_xlnm.Database,FILESTAT!Z$3,bfy2004_)</f>
        <v>44065280</v>
      </c>
      <c r="AA21" s="111">
        <f>DSUM(_xlnm.Database,FILESTAT!AA$3,bfy2004_)</f>
        <v>0</v>
      </c>
      <c r="AC21" s="110">
        <f>DSUM(_xlnm.Database,FILESTAT!AC$3,bfy2004_)</f>
        <v>15991296</v>
      </c>
      <c r="AD21" s="111">
        <f>DSUM(_xlnm.Database,FILESTAT!AD$3,bfy2004_)</f>
        <v>0</v>
      </c>
      <c r="AE21" s="120">
        <f t="shared" si="5"/>
        <v>15991296</v>
      </c>
      <c r="AG21" s="110">
        <f>DSUM(_xlnm.Database,FILESTAT!AG$3,bfy2004_)</f>
        <v>1547</v>
      </c>
      <c r="AH21" s="111">
        <f>DSUM(_xlnm.Database,FILESTAT!AH$3,bfy2004_)</f>
        <v>1125</v>
      </c>
      <c r="AI21" s="111">
        <f>DSUM(_xlnm.Database,FILESTAT!AI$3,bfy2004_)</f>
        <v>2946</v>
      </c>
      <c r="AJ21" s="112">
        <f>DSUM(_xlnm.Database,FILESTAT!AJ$3,bfy2004_)</f>
        <v>0</v>
      </c>
      <c r="AL21" s="121">
        <f>DAVERAGE(_xlnm.Database,FILESTAT!AL$3,bfy2004_)</f>
        <v>0</v>
      </c>
      <c r="AM21" s="122">
        <f>DAVERAGE(_xlnm.Database,FILESTAT!AM$3,bfy2004_)</f>
        <v>64</v>
      </c>
      <c r="AN21" s="120">
        <f t="shared" si="6"/>
        <v>64</v>
      </c>
      <c r="AO21" s="122"/>
      <c r="AP21" s="122"/>
      <c r="AQ21" s="120">
        <f t="shared" si="7"/>
        <v>0</v>
      </c>
      <c r="AR21" s="122">
        <f>ROUND(DAVERAGE(_xlnm.Database,FILESTAT!AR$3,bfy2004_),0)</f>
        <v>155</v>
      </c>
      <c r="AS21" s="122">
        <f>DAVERAGE(_xlnm.Database,FILESTAT!AS$3,bfy2004_)</f>
        <v>46.045454545454547</v>
      </c>
      <c r="AT21" s="122">
        <f>DAVERAGE(_xlnm.Database,FILESTAT!AT$3,bfy2004_)</f>
        <v>84.454545454545453</v>
      </c>
      <c r="AU21" s="122">
        <f>DAVERAGE(_xlnm.Database,FILESTAT!AU$3,bfy2004_)</f>
        <v>20.045454545454547</v>
      </c>
      <c r="AV21" s="123">
        <f>DAVERAGE(_xlnm.Database,FILESTAT!AV$3,bfy2004_)</f>
        <v>165.90909090909091</v>
      </c>
      <c r="AW21"/>
      <c r="AX21" s="356"/>
      <c r="AY21"/>
      <c r="BA21" s="121">
        <f>ROUND(DAVERAGE(_xlnm.Database,FILESTAT!BA$3,bfy2004_),0)</f>
        <v>1746</v>
      </c>
      <c r="BB21" s="122">
        <f>DAVERAGE(_xlnm.Database,FILESTAT!BB$3,bfy2004_)</f>
        <v>30211212.75</v>
      </c>
      <c r="BC21" s="122"/>
      <c r="BD21" s="122"/>
      <c r="BE21" s="111">
        <f>DSUM(_xlnm.Database,FILESTAT!BE$3,bfy2004_)</f>
        <v>613</v>
      </c>
      <c r="BF21" s="111">
        <f>DSUM(_xlnm.Database,FILESTAT!BF$3,bfy2004_)</f>
        <v>53</v>
      </c>
      <c r="BG21" s="111">
        <f>DSUM(_xlnm.Database,FILESTAT!BG$3,bfy2004_)</f>
        <v>21</v>
      </c>
      <c r="BI21" s="122">
        <f>DAVERAGE(_xlnm.Database,FILESTAT!BI$3,bfy2004_)</f>
        <v>1484749.75</v>
      </c>
      <c r="BJ21" s="122"/>
      <c r="BK21" s="122"/>
      <c r="BL21" s="122">
        <f>DAVERAGE(_xlnm.Database,FILESTAT!BL$3,bfy2004_)</f>
        <v>85.5</v>
      </c>
      <c r="BM21" s="112">
        <f>DSUM(_xlnm.Database,FILESTAT!BM$3,bfy2004_)</f>
        <v>0</v>
      </c>
      <c r="BO21" s="121"/>
      <c r="BP21" s="123">
        <f>DAVERAGE(_xlnm.Database,FILESTAT!BP$3,bfy2004_)</f>
        <v>155</v>
      </c>
      <c r="BR21" s="236"/>
      <c r="BS21" s="126"/>
      <c r="BT21" s="237"/>
      <c r="BV21" s="110">
        <f>DSUM(_xlnm.Database,FILESTAT!BV$3,bfy2004_)</f>
        <v>16</v>
      </c>
      <c r="BW21" s="111">
        <f>DSUM(_xlnm.Database,FILESTAT!BW$3,bfy2004_)</f>
        <v>18</v>
      </c>
      <c r="BX21" s="111">
        <f>DSUM(_xlnm.Database,FILESTAT!BX$3,bfy2004_)</f>
        <v>30</v>
      </c>
      <c r="BY21" s="111">
        <f>DSUM(_xlnm.Database,FILESTAT!BY$3,bfy2004_)</f>
        <v>0</v>
      </c>
      <c r="BZ21" s="111">
        <f>DSUM(_xlnm.Database,FILESTAT!BZ$3,bfy2004_)</f>
        <v>0</v>
      </c>
      <c r="CA21" s="111">
        <f>DSUM(_xlnm.Database,FILESTAT!CA$3,bfy2004_)</f>
        <v>0</v>
      </c>
      <c r="CB21" s="111">
        <f>DSUM(_xlnm.Database,FILESTAT!CB$3,bfy2004_)</f>
        <v>0</v>
      </c>
      <c r="CC21" s="289">
        <f>DSUM(_xlnm.Database,FILESTAT!CC$3,bfy2004_)</f>
        <v>0</v>
      </c>
      <c r="CD21" s="111">
        <f>DSUM(_xlnm.Database,FILESTAT!CD$3,bfy2004_)</f>
        <v>84</v>
      </c>
      <c r="CE21" s="289">
        <f>DSUM(_xlnm.Database,FILESTAT!CE$3,bfy2004_)</f>
        <v>0</v>
      </c>
      <c r="CF21" s="111">
        <f>DSUM(_xlnm.Database,FILESTAT!CF$3,bfy2004_)</f>
        <v>3</v>
      </c>
      <c r="CG21" s="111">
        <f>DSUM(_xlnm.Database,FILESTAT!CG$3,bfy2004_)</f>
        <v>3</v>
      </c>
      <c r="CH21" s="111">
        <f>DSUM(_xlnm.Database,FILESTAT!CH$3,bfy2004_)</f>
        <v>0</v>
      </c>
      <c r="CI21" s="111">
        <f>DSUM(_xlnm.Database,FILESTAT!CI$3,bfy2004_)</f>
        <v>56</v>
      </c>
      <c r="CJ21" s="111">
        <f>DSUM(_xlnm.Database,FILESTAT!CJ$3,bfy2004_)</f>
        <v>124</v>
      </c>
      <c r="CK21" s="289">
        <f>DSUM(_xlnm.Database,FILESTAT!CK$3,bfy2004_)</f>
        <v>0</v>
      </c>
      <c r="CL21" s="111">
        <f>DSUM(_xlnm.Database,FILESTAT!CL$3,bfy2004_)</f>
        <v>0</v>
      </c>
      <c r="CM21" s="111">
        <f>DSUM(_xlnm.Database,FILESTAT!CM$3,bfy2004_)</f>
        <v>5</v>
      </c>
      <c r="CN21" s="111">
        <f>DSUM(_xlnm.Database,FILESTAT!CN$3,bfy2004_)</f>
        <v>0</v>
      </c>
      <c r="CO21" s="111">
        <f>DSUM(_xlnm.Database,FILESTAT!CO$3,bfy2004_)</f>
        <v>71</v>
      </c>
      <c r="CP21" s="289">
        <f>DSUM(_xlnm.Database,FILESTAT!CP$3,bfy2004_)</f>
        <v>0</v>
      </c>
      <c r="CQ21" s="111">
        <f>DSUM(_xlnm.Database,FILESTAT!CQ$3,bfy2004_)</f>
        <v>0</v>
      </c>
      <c r="CR21" s="111">
        <f>DSUM(_xlnm.Database,FILESTAT!CR$3,bfy2004_)</f>
        <v>0</v>
      </c>
      <c r="CS21" s="111">
        <f>DSUM(_xlnm.Database,FILESTAT!CS$3,bfy2004_)</f>
        <v>14</v>
      </c>
      <c r="CT21" s="111">
        <f>DSUM(_xlnm.Database,FILESTAT!CT$3,bfy2004_)</f>
        <v>61</v>
      </c>
      <c r="CU21" s="289">
        <f>DSUM(_xlnm.Database,FILESTAT!CU$3,bfy2004_)</f>
        <v>0</v>
      </c>
      <c r="CV21" s="111">
        <f>DSUM(_xlnm.Database,FILESTAT!CV$3,bfy2004_)</f>
        <v>58</v>
      </c>
      <c r="CW21" s="111">
        <f>DSUM(_xlnm.Database,FILESTAT!CW$3,bfy2004_)</f>
        <v>0</v>
      </c>
      <c r="CX21" s="111">
        <f>DSUM(_xlnm.Database,FILESTAT!CX$3,bfy2004_)</f>
        <v>0</v>
      </c>
      <c r="CY21" s="111">
        <f>DSUM(_xlnm.Database,FILESTAT!CY$3,bfy2004_)</f>
        <v>16</v>
      </c>
      <c r="CZ21" s="111">
        <f>DSUM(_xlnm.Database,FILESTAT!CZ$3,bfy2004_)</f>
        <v>0</v>
      </c>
      <c r="DA21" s="111">
        <f>DSUM(_xlnm.Database,FILESTAT!DA$3,bfy2004_)</f>
        <v>0</v>
      </c>
      <c r="DB21" s="111">
        <f>DSUM(_xlnm.Database,FILESTAT!DB$3,bfy2004_)</f>
        <v>105</v>
      </c>
      <c r="DC21" s="111">
        <f>DSUM(_xlnm.Database,FILESTAT!DC$3,bfy2004_)</f>
        <v>0</v>
      </c>
      <c r="DD21" s="111">
        <f>DSUM(_xlnm.Database,FILESTAT!DD$3,bfy2004_)</f>
        <v>0</v>
      </c>
      <c r="DE21" s="111">
        <f>DSUM(_xlnm.Database,FILESTAT!DE$3,bfy2004_)</f>
        <v>0</v>
      </c>
      <c r="DF21" s="111">
        <f>DSUM(_xlnm.Database,FILESTAT!DF$3,bfy2004_)</f>
        <v>0</v>
      </c>
      <c r="DG21" s="111">
        <f>DSUM(_xlnm.Database,FILESTAT!DG$3,bfy2004_)</f>
        <v>26</v>
      </c>
      <c r="DH21" s="111">
        <f>DSUM(_xlnm.Database,FILESTAT!DH$3,bfy2004_)</f>
        <v>21</v>
      </c>
      <c r="DI21" s="111">
        <f>DSUM(_xlnm.Database,FILESTAT!DI$3,bfy2004_)</f>
        <v>8</v>
      </c>
      <c r="DJ21" s="111">
        <f>DSUM(_xlnm.Database,FILESTAT!DJ$3,bfy2004_)</f>
        <v>3</v>
      </c>
      <c r="DK21" s="111">
        <f>DSUM(_xlnm.Database,FILESTAT!DK$3,bfy2004_)</f>
        <v>0</v>
      </c>
      <c r="DL21" s="111">
        <f>DSUM(_xlnm.Database,FILESTAT!DL$3,bfy2004_)</f>
        <v>0</v>
      </c>
      <c r="DM21" s="111">
        <f>DSUM(_xlnm.Database,FILESTAT!DM$3,bfy2004_)</f>
        <v>71</v>
      </c>
      <c r="DN21" s="111">
        <f>DSUM(_xlnm.Database,FILESTAT!DN$3,bfy2004_)</f>
        <v>0</v>
      </c>
      <c r="DO21" s="111">
        <f>DSUM(_xlnm.Database,FILESTAT!DO$3,bfy2004_)</f>
        <v>15</v>
      </c>
      <c r="DP21" s="111">
        <f>DSUM(_xlnm.Database,FILESTAT!DP$3,bfy2004_)</f>
        <v>0</v>
      </c>
      <c r="DQ21" s="111">
        <f>DSUM(_xlnm.Database,FILESTAT!DQ$3,bfy2004_)</f>
        <v>0</v>
      </c>
      <c r="DS21" s="111">
        <f>DSUM(_xlnm.Database,FILESTAT!DS$3,bfy2004_)</f>
        <v>34</v>
      </c>
      <c r="DT21" s="111">
        <f>DSUM(_xlnm.Database,FILESTAT!DT$3,bfy2004_)</f>
        <v>47</v>
      </c>
      <c r="DU21" s="111">
        <f>DSUM(_xlnm.Database,FILESTAT!DU$3,bfy2004_)</f>
        <v>18</v>
      </c>
      <c r="DV21" s="127">
        <f t="shared" si="8"/>
        <v>907</v>
      </c>
      <c r="DW21" s="129" t="str">
        <f t="shared" si="1"/>
        <v/>
      </c>
    </row>
    <row r="22" spans="1:130" s="111" customFormat="1">
      <c r="A22" s="119">
        <v>2005</v>
      </c>
      <c r="B22" s="189"/>
      <c r="C22" s="110">
        <f>DSUM(_xlnm.Database,FILESTAT!C$3,bfy2005_)</f>
        <v>72</v>
      </c>
      <c r="D22" s="111">
        <f>DSUM(_xlnm.Database,FILESTAT!D$3,bfy2005_)</f>
        <v>363</v>
      </c>
      <c r="E22" s="111">
        <f>DSUM(_xlnm.Database,FILESTAT!E$3,bfy2005_)</f>
        <v>25</v>
      </c>
      <c r="F22" s="111">
        <f>DSUM(_xlnm.Database,FILESTAT!F$3,bfy2005_)</f>
        <v>9</v>
      </c>
      <c r="G22" s="111">
        <f>DSUM(_xlnm.Database,FILESTAT!G$3,bfy2005_)</f>
        <v>36</v>
      </c>
      <c r="H22" s="111">
        <f>DSUM(_xlnm.Database,FILESTAT!H$3,bfy2005_)</f>
        <v>8</v>
      </c>
      <c r="I22" s="111">
        <f>DSUM(_xlnm.Database,FILESTAT!I$3,bfy2005_)</f>
        <v>0</v>
      </c>
      <c r="J22" s="111">
        <f>DSUM(_xlnm.Database,FILESTAT!J$3,bfy2005_)</f>
        <v>174</v>
      </c>
      <c r="K22" s="111">
        <f>DSUM(_xlnm.Database,FILESTAT!K$3,bfy2005_)</f>
        <v>6</v>
      </c>
      <c r="L22" s="111">
        <f>DSUM(_xlnm.Database,FILESTAT!L$3,bfy2005_)</f>
        <v>0</v>
      </c>
      <c r="M22" s="111">
        <f>DSUM(_xlnm.Database,FILESTAT!M$3,bfy2005_)</f>
        <v>0</v>
      </c>
      <c r="N22" s="111">
        <f>DSUM(_xlnm.Database,FILESTAT!N$3,bfy2005_)</f>
        <v>0</v>
      </c>
      <c r="O22" s="111">
        <f>DSUM(_xlnm.Database,FILESTAT!O$3,bfy2005_)</f>
        <v>94</v>
      </c>
      <c r="P22" s="111">
        <f>DSUM(_xlnm.Database,FILESTAT!P$3,bfy2005_)</f>
        <v>9</v>
      </c>
      <c r="Q22" s="111">
        <f>DSUM(_xlnm.Database,FILESTAT!Q$3,bfy2005_)</f>
        <v>0</v>
      </c>
      <c r="R22" s="112">
        <f>DSUM(_xlnm.Database,FILESTAT!R$3,bfy2005_)</f>
        <v>0</v>
      </c>
      <c r="S22" s="120">
        <f>IF(SUM(C22:R22)=FILESTAT!S527,SUM(C22:R22),"PROBLEM")</f>
        <v>796</v>
      </c>
      <c r="T22" s="110">
        <f>DSUM(_xlnm.Database,FILESTAT!T$3,bfy2005_)</f>
        <v>0</v>
      </c>
      <c r="U22" s="110">
        <f>DSUM(_xlnm.Database,FILESTAT!U$3,bfy2005_)</f>
        <v>364</v>
      </c>
      <c r="V22" s="111">
        <f>DSUM(_xlnm.Database,FILESTAT!V$3,bfy2005_)</f>
        <v>295</v>
      </c>
      <c r="W22" s="111">
        <f>DSUM(_xlnm.Database,FILESTAT!W$3,bfy2005_)</f>
        <v>0</v>
      </c>
      <c r="X22" s="112">
        <f>DSUM(_xlnm.Database,FILESTAT!X$3,bfy2005_)</f>
        <v>2</v>
      </c>
      <c r="Z22" s="110">
        <f>DSUM(_xlnm.Database,FILESTAT!Z$3,bfy2005_)</f>
        <v>40582517</v>
      </c>
      <c r="AA22" s="111">
        <f>DSUM(_xlnm.Database,FILESTAT!AA$3,bfy2005_)</f>
        <v>0</v>
      </c>
      <c r="AC22" s="110">
        <f>DSUM(_xlnm.Database,FILESTAT!AC$3,bfy2005_)</f>
        <v>15205232</v>
      </c>
      <c r="AD22" s="111">
        <f>DSUM(_xlnm.Database,FILESTAT!AD$3,bfy2005_)</f>
        <v>0</v>
      </c>
      <c r="AE22" s="120">
        <f t="shared" si="5"/>
        <v>15205232</v>
      </c>
      <c r="AG22" s="110">
        <f>DSUM(_xlnm.Database,FILESTAT!AG$3,bfy2005_)</f>
        <v>1428</v>
      </c>
      <c r="AH22" s="111">
        <f>DSUM(_xlnm.Database,FILESTAT!AH$3,bfy2005_)</f>
        <v>1066</v>
      </c>
      <c r="AI22" s="111">
        <f>DSUM(_xlnm.Database,FILESTAT!AI$3,bfy2005_)</f>
        <v>2784</v>
      </c>
      <c r="AJ22" s="112">
        <f>DSUM(_xlnm.Database,FILESTAT!AJ$3,bfy2005_)</f>
        <v>0</v>
      </c>
      <c r="AL22" s="121">
        <f>DAVERAGE(_xlnm.Database,FILESTAT!AL$3,bfy2005_)</f>
        <v>0</v>
      </c>
      <c r="AM22" s="122">
        <f>DAVERAGE(_xlnm.Database,FILESTAT!AM$3,bfy2005_)</f>
        <v>60</v>
      </c>
      <c r="AN22" s="120">
        <f t="shared" si="6"/>
        <v>60</v>
      </c>
      <c r="AO22" s="122"/>
      <c r="AP22" s="122"/>
      <c r="AQ22" s="120">
        <f t="shared" si="7"/>
        <v>0</v>
      </c>
      <c r="AR22" s="122">
        <f>ROUND(DAVERAGE(_xlnm.Database,FILESTAT!AR$3,bfy2005_),0)</f>
        <v>158</v>
      </c>
      <c r="AS22" s="122">
        <f>DAVERAGE(_xlnm.Database,FILESTAT!AS$3,bfy2005_)</f>
        <v>49</v>
      </c>
      <c r="AT22" s="122">
        <f>DAVERAGE(_xlnm.Database,FILESTAT!AT$3,bfy2005_)</f>
        <v>77</v>
      </c>
      <c r="AU22" s="122">
        <f>DAVERAGE(_xlnm.Database,FILESTAT!AU$3,bfy2005_)</f>
        <v>19.166666666666668</v>
      </c>
      <c r="AV22" s="123">
        <f>DAVERAGE(_xlnm.Database,FILESTAT!AV$3,bfy2005_)</f>
        <v>167.66666666666666</v>
      </c>
      <c r="AW22"/>
      <c r="AX22" s="356"/>
      <c r="AY22"/>
      <c r="BA22" s="121">
        <f>ROUND(DAVERAGE(_xlnm.Database,FILESTAT!BA$3,bfy2005_),0)</f>
        <v>1779</v>
      </c>
      <c r="BB22" s="122">
        <f>DAVERAGE(_xlnm.Database,FILESTAT!BB$3,bfy2005_)</f>
        <v>31349078.833333332</v>
      </c>
      <c r="BC22" s="122"/>
      <c r="BD22" s="122"/>
      <c r="BE22" s="111">
        <f>DSUM(_xlnm.Database,FILESTAT!BE$3,bfy2005_)</f>
        <v>567</v>
      </c>
      <c r="BF22" s="111">
        <f>DSUM(_xlnm.Database,FILESTAT!BF$3,bfy2005_)</f>
        <v>66</v>
      </c>
      <c r="BG22" s="111">
        <f>DSUM(_xlnm.Database,FILESTAT!BG$3,bfy2005_)</f>
        <v>23</v>
      </c>
      <c r="BI22" s="122">
        <f>DAVERAGE(_xlnm.Database,FILESTAT!BI$3,bfy2005_)</f>
        <v>1636108.5833333333</v>
      </c>
      <c r="BJ22" s="122"/>
      <c r="BK22" s="122"/>
      <c r="BL22" s="122">
        <f>DAVERAGE(_xlnm.Database,FILESTAT!BL$3,bfy2005_)</f>
        <v>35.666666666666664</v>
      </c>
      <c r="BM22" s="112">
        <f>DSUM(_xlnm.Database,FILESTAT!BM$3,bfy2005_)</f>
        <v>0</v>
      </c>
      <c r="BO22" s="121"/>
      <c r="BP22" s="123">
        <f>DAVERAGE(_xlnm.Database,FILESTAT!BP$3,bfy2005_)</f>
        <v>154.5</v>
      </c>
      <c r="BR22" s="236"/>
      <c r="BS22" s="126"/>
      <c r="BT22" s="237"/>
      <c r="BV22" s="110">
        <f>DSUM(_xlnm.Database,FILESTAT!BV$3,bfy2005_)</f>
        <v>33</v>
      </c>
      <c r="BW22" s="111">
        <f>DSUM(_xlnm.Database,FILESTAT!BW$3,bfy2005_)</f>
        <v>28</v>
      </c>
      <c r="BX22" s="111">
        <f>DSUM(_xlnm.Database,FILESTAT!BX$3,bfy2005_)</f>
        <v>9</v>
      </c>
      <c r="BY22" s="111">
        <f>DSUM(_xlnm.Database,FILESTAT!BY$3,bfy2005_)</f>
        <v>0</v>
      </c>
      <c r="BZ22" s="111">
        <f>DSUM(_xlnm.Database,FILESTAT!BZ$3,bfy2005_)</f>
        <v>0</v>
      </c>
      <c r="CA22" s="111">
        <f>DSUM(_xlnm.Database,FILESTAT!CA$3,bfy2005_)</f>
        <v>0</v>
      </c>
      <c r="CB22" s="111">
        <f>DSUM(_xlnm.Database,FILESTAT!CB$3,bfy2005_)</f>
        <v>0</v>
      </c>
      <c r="CC22" s="289">
        <f>DSUM(_xlnm.Database,FILESTAT!CC$3,bfy2005_)</f>
        <v>0</v>
      </c>
      <c r="CD22" s="111">
        <f>DSUM(_xlnm.Database,FILESTAT!CD$3,bfy2005_)</f>
        <v>75</v>
      </c>
      <c r="CE22" s="289">
        <f>DSUM(_xlnm.Database,FILESTAT!CE$3,bfy2005_)</f>
        <v>0</v>
      </c>
      <c r="CF22" s="111">
        <f>DSUM(_xlnm.Database,FILESTAT!CF$3,bfy2005_)</f>
        <v>5</v>
      </c>
      <c r="CG22" s="111">
        <f>DSUM(_xlnm.Database,FILESTAT!CG$3,bfy2005_)</f>
        <v>1</v>
      </c>
      <c r="CH22" s="111">
        <f>DSUM(_xlnm.Database,FILESTAT!CH$3,bfy2005_)</f>
        <v>0</v>
      </c>
      <c r="CI22" s="111">
        <f>DSUM(_xlnm.Database,FILESTAT!CI$3,bfy2005_)</f>
        <v>45</v>
      </c>
      <c r="CJ22" s="111">
        <f>DSUM(_xlnm.Database,FILESTAT!CJ$3,bfy2005_)</f>
        <v>93</v>
      </c>
      <c r="CK22" s="289">
        <f>DSUM(_xlnm.Database,FILESTAT!CK$3,bfy2005_)</f>
        <v>0</v>
      </c>
      <c r="CL22" s="111">
        <f>DSUM(_xlnm.Database,FILESTAT!CL$3,bfy2005_)</f>
        <v>0</v>
      </c>
      <c r="CM22" s="111">
        <f>DSUM(_xlnm.Database,FILESTAT!CM$3,bfy2005_)</f>
        <v>0</v>
      </c>
      <c r="CN22" s="111">
        <f>DSUM(_xlnm.Database,FILESTAT!CN$3,bfy2005_)</f>
        <v>0</v>
      </c>
      <c r="CO22" s="111">
        <f>DSUM(_xlnm.Database,FILESTAT!CO$3,bfy2005_)</f>
        <v>105</v>
      </c>
      <c r="CP22" s="289">
        <f>DSUM(_xlnm.Database,FILESTAT!CP$3,bfy2005_)</f>
        <v>0</v>
      </c>
      <c r="CQ22" s="111">
        <f>DSUM(_xlnm.Database,FILESTAT!CQ$3,bfy2005_)</f>
        <v>0</v>
      </c>
      <c r="CR22" s="111">
        <f>DSUM(_xlnm.Database,FILESTAT!CR$3,bfy2005_)</f>
        <v>0</v>
      </c>
      <c r="CS22" s="111">
        <f>DSUM(_xlnm.Database,FILESTAT!CS$3,bfy2005_)</f>
        <v>10</v>
      </c>
      <c r="CT22" s="111">
        <f>DSUM(_xlnm.Database,FILESTAT!CT$3,bfy2005_)</f>
        <v>70</v>
      </c>
      <c r="CU22" s="289">
        <f>DSUM(_xlnm.Database,FILESTAT!CU$3,bfy2005_)</f>
        <v>0</v>
      </c>
      <c r="CV22" s="111">
        <f>DSUM(_xlnm.Database,FILESTAT!CV$3,bfy2005_)</f>
        <v>52</v>
      </c>
      <c r="CW22" s="111">
        <f>DSUM(_xlnm.Database,FILESTAT!CW$3,bfy2005_)</f>
        <v>0</v>
      </c>
      <c r="CX22" s="111">
        <f>DSUM(_xlnm.Database,FILESTAT!CX$3,bfy2005_)</f>
        <v>0</v>
      </c>
      <c r="CY22" s="111">
        <f>DSUM(_xlnm.Database,FILESTAT!CY$3,bfy2005_)</f>
        <v>17</v>
      </c>
      <c r="CZ22" s="111">
        <f>DSUM(_xlnm.Database,FILESTAT!CZ$3,bfy2005_)</f>
        <v>0</v>
      </c>
      <c r="DA22" s="111">
        <f>DSUM(_xlnm.Database,FILESTAT!DA$3,bfy2005_)</f>
        <v>0</v>
      </c>
      <c r="DB22" s="111">
        <f>DSUM(_xlnm.Database,FILESTAT!DB$3,bfy2005_)</f>
        <v>54</v>
      </c>
      <c r="DC22" s="111">
        <f>DSUM(_xlnm.Database,FILESTAT!DC$3,bfy2005_)</f>
        <v>0</v>
      </c>
      <c r="DD22" s="111">
        <f>DSUM(_xlnm.Database,FILESTAT!DD$3,bfy2005_)</f>
        <v>0</v>
      </c>
      <c r="DE22" s="111">
        <f>DSUM(_xlnm.Database,FILESTAT!DE$3,bfy2005_)</f>
        <v>0</v>
      </c>
      <c r="DF22" s="111">
        <f>DSUM(_xlnm.Database,FILESTAT!DF$3,bfy2005_)</f>
        <v>0</v>
      </c>
      <c r="DG22" s="111">
        <f>DSUM(_xlnm.Database,FILESTAT!DG$3,bfy2005_)</f>
        <v>36</v>
      </c>
      <c r="DH22" s="111">
        <f>DSUM(_xlnm.Database,FILESTAT!DH$3,bfy2005_)</f>
        <v>16</v>
      </c>
      <c r="DI22" s="111">
        <f>DSUM(_xlnm.Database,FILESTAT!DI$3,bfy2005_)</f>
        <v>7</v>
      </c>
      <c r="DJ22" s="111">
        <f>DSUM(_xlnm.Database,FILESTAT!DJ$3,bfy2005_)</f>
        <v>15</v>
      </c>
      <c r="DK22" s="111">
        <f>DSUM(_xlnm.Database,FILESTAT!DK$3,bfy2005_)</f>
        <v>0</v>
      </c>
      <c r="DL22" s="111">
        <f>DSUM(_xlnm.Database,FILESTAT!DL$3,bfy2005_)</f>
        <v>0</v>
      </c>
      <c r="DM22" s="111">
        <f>DSUM(_xlnm.Database,FILESTAT!DM$3,bfy2005_)</f>
        <v>35</v>
      </c>
      <c r="DN22" s="111">
        <f>DSUM(_xlnm.Database,FILESTAT!DN$3,bfy2005_)</f>
        <v>0</v>
      </c>
      <c r="DO22" s="111">
        <f>DSUM(_xlnm.Database,FILESTAT!DO$3,bfy2005_)</f>
        <v>10</v>
      </c>
      <c r="DP22" s="111">
        <f>DSUM(_xlnm.Database,FILESTAT!DP$3,bfy2005_)</f>
        <v>0</v>
      </c>
      <c r="DQ22" s="111">
        <f>DSUM(_xlnm.Database,FILESTAT!DQ$3,bfy2005_)</f>
        <v>0</v>
      </c>
      <c r="DS22" s="111">
        <f>DSUM(_xlnm.Database,FILESTAT!DS$3,bfy2005_)</f>
        <v>40</v>
      </c>
      <c r="DT22" s="111">
        <f>DSUM(_xlnm.Database,FILESTAT!DT$3,bfy2005_)</f>
        <v>40</v>
      </c>
      <c r="DU22" s="111">
        <f>DSUM(_xlnm.Database,FILESTAT!DU$3,bfy2005_)</f>
        <v>0</v>
      </c>
      <c r="DV22" s="127">
        <f t="shared" si="8"/>
        <v>796</v>
      </c>
      <c r="DW22" s="129" t="str">
        <f t="shared" si="1"/>
        <v/>
      </c>
    </row>
    <row r="23" spans="1:130" s="111" customFormat="1">
      <c r="A23" s="119">
        <v>2006</v>
      </c>
      <c r="B23" s="189"/>
      <c r="C23" s="110">
        <f>DSUM(_xlnm.Database,FILESTAT!C$3,bfy2006_)</f>
        <v>44</v>
      </c>
      <c r="D23" s="111">
        <f>DSUM(_xlnm.Database,FILESTAT!D$3,bfy2006_)</f>
        <v>305</v>
      </c>
      <c r="E23" s="111">
        <f>DSUM(_xlnm.Database,FILESTAT!E$3,bfy2006_)</f>
        <v>16</v>
      </c>
      <c r="F23" s="111">
        <f>DSUM(_xlnm.Database,FILESTAT!F$3,bfy2006_)</f>
        <v>13</v>
      </c>
      <c r="G23" s="111">
        <f>DSUM(_xlnm.Database,FILESTAT!G$3,bfy2006_)</f>
        <v>47</v>
      </c>
      <c r="H23" s="111">
        <f>DSUM(_xlnm.Database,FILESTAT!H$3,bfy2006_)</f>
        <v>10</v>
      </c>
      <c r="I23" s="111">
        <f>DSUM(_xlnm.Database,FILESTAT!I$3,bfy2006_)</f>
        <v>0</v>
      </c>
      <c r="J23" s="111">
        <f>DSUM(_xlnm.Database,FILESTAT!J$3,bfy2006_)</f>
        <v>230</v>
      </c>
      <c r="K23" s="111">
        <f>DSUM(_xlnm.Database,FILESTAT!K$3,bfy2006_)</f>
        <v>5</v>
      </c>
      <c r="L23" s="111">
        <f>DSUM(_xlnm.Database,FILESTAT!L$3,bfy2006_)</f>
        <v>1</v>
      </c>
      <c r="M23" s="111">
        <f>DSUM(_xlnm.Database,FILESTAT!M$3,bfy2006_)</f>
        <v>0</v>
      </c>
      <c r="N23" s="111">
        <f>DSUM(_xlnm.Database,FILESTAT!N$3,bfy2006_)</f>
        <v>0</v>
      </c>
      <c r="O23" s="111">
        <f>DSUM(_xlnm.Database,FILESTAT!O$3,bfy2006_)</f>
        <v>159</v>
      </c>
      <c r="P23" s="111">
        <f>DSUM(_xlnm.Database,FILESTAT!P$3,bfy2006_)</f>
        <v>9</v>
      </c>
      <c r="Q23" s="111">
        <f>DSUM(_xlnm.Database,FILESTAT!Q$3,bfy2006_)</f>
        <v>2</v>
      </c>
      <c r="R23" s="112">
        <f>DSUM(_xlnm.Database,FILESTAT!R$3,bfy2006_)</f>
        <v>6</v>
      </c>
      <c r="S23" s="120">
        <f>IF(SUM(C23:R23)=FILESTAT!S558,SUM(C23:R23),"PROBLEM")</f>
        <v>847</v>
      </c>
      <c r="T23" s="110">
        <f>DSUM(_xlnm.Database,FILESTAT!T$3,bfy2006_)</f>
        <v>0</v>
      </c>
      <c r="U23" s="110">
        <f>DSUM(_xlnm.Database,FILESTAT!U$3,bfy2006_)</f>
        <v>346</v>
      </c>
      <c r="V23" s="111">
        <f>DSUM(_xlnm.Database,FILESTAT!V$3,bfy2006_)</f>
        <v>280</v>
      </c>
      <c r="W23" s="111">
        <f>DSUM(_xlnm.Database,FILESTAT!W$3,bfy2006_)</f>
        <v>0</v>
      </c>
      <c r="X23" s="112">
        <f>DSUM(_xlnm.Database,FILESTAT!X$3,bfy2006_)</f>
        <v>3</v>
      </c>
      <c r="Z23" s="110">
        <f>DSUM(_xlnm.Database,FILESTAT!Z$3,bfy2006_)</f>
        <v>45028722</v>
      </c>
      <c r="AA23" s="111">
        <f>DSUM(_xlnm.Database,FILESTAT!AA$3,bfy2006_)</f>
        <v>0</v>
      </c>
      <c r="AC23" s="110">
        <f>DSUM(_xlnm.Database,FILESTAT!AC$3,bfy2006_)</f>
        <v>15361762</v>
      </c>
      <c r="AD23" s="111">
        <f>DSUM(_xlnm.Database,FILESTAT!AD$3,bfy2006_)</f>
        <v>0</v>
      </c>
      <c r="AE23" s="120">
        <f t="shared" si="5"/>
        <v>15361762</v>
      </c>
      <c r="AG23" s="110">
        <f>DSUM(_xlnm.Database,FILESTAT!AG$3,bfy2006_)</f>
        <v>1403</v>
      </c>
      <c r="AH23" s="111">
        <f>DSUM(_xlnm.Database,FILESTAT!AH$3,bfy2006_)</f>
        <v>1226</v>
      </c>
      <c r="AI23" s="111">
        <f>DSUM(_xlnm.Database,FILESTAT!AI$3,bfy2006_)</f>
        <v>2936</v>
      </c>
      <c r="AJ23" s="112">
        <f>DSUM(_xlnm.Database,FILESTAT!AJ$3,bfy2006_)</f>
        <v>0</v>
      </c>
      <c r="AL23" s="121">
        <f>DAVERAGE(_xlnm.Database,FILESTAT!AL$3,bfy2006_)</f>
        <v>0</v>
      </c>
      <c r="AM23" s="122">
        <f>DAVERAGE(_xlnm.Database,FILESTAT!AM$3,bfy2006_)</f>
        <v>56</v>
      </c>
      <c r="AN23" s="120">
        <f t="shared" si="6"/>
        <v>56</v>
      </c>
      <c r="AO23" s="122"/>
      <c r="AP23" s="122"/>
      <c r="AQ23" s="120">
        <f t="shared" si="7"/>
        <v>0</v>
      </c>
      <c r="AR23" s="122">
        <f>DAVERAGE(_xlnm.Database,FILESTAT!AR$3,bfy2006_)</f>
        <v>149.65217391304347</v>
      </c>
      <c r="AS23" s="122">
        <f>DAVERAGE(_xlnm.Database,FILESTAT!AS$3,bfy2006_)</f>
        <v>53.6</v>
      </c>
      <c r="AT23" s="122">
        <f>DAVERAGE(_xlnm.Database,FILESTAT!AT$3,bfy2006_)</f>
        <v>88.2</v>
      </c>
      <c r="AU23" s="122">
        <f>DAVERAGE(_xlnm.Database,FILESTAT!AU$3,bfy2006_)</f>
        <v>21.25</v>
      </c>
      <c r="AV23" s="123">
        <f>DAVERAGE(_xlnm.Database,FILESTAT!AV$3,bfy2006_)</f>
        <v>192.5</v>
      </c>
      <c r="AW23"/>
      <c r="AX23" s="356"/>
      <c r="AY23"/>
      <c r="BA23" s="121">
        <f>ROUND(DAVERAGE(_xlnm.Database,FILESTAT!BA$3,bfy2006_),0)</f>
        <v>1814</v>
      </c>
      <c r="BB23" s="122">
        <f>DAVERAGE(_xlnm.Database,FILESTAT!BB$3,bfy2006_)</f>
        <v>38619654.75</v>
      </c>
      <c r="BC23" s="122"/>
      <c r="BD23" s="122"/>
      <c r="BE23" s="111">
        <f>DSUM(_xlnm.Database,FILESTAT!BE$3,bfy2006_)</f>
        <v>685</v>
      </c>
      <c r="BF23" s="111">
        <f>DSUM(_xlnm.Database,FILESTAT!BF$3,bfy2006_)</f>
        <v>43</v>
      </c>
      <c r="BG23" s="111">
        <f>DSUM(_xlnm.Database,FILESTAT!BG$3,bfy2006_)</f>
        <v>20</v>
      </c>
      <c r="BI23" s="122">
        <f>DAVERAGE(_xlnm.Database,FILESTAT!BI$3,bfy2006_)</f>
        <v>2319289.5</v>
      </c>
      <c r="BJ23" s="122"/>
      <c r="BK23" s="122"/>
      <c r="BL23" s="122">
        <f>DAVERAGE(_xlnm.Database,FILESTAT!BL$3,bfy2006_)</f>
        <v>15.75</v>
      </c>
      <c r="BM23" s="112">
        <f>DSUM(_xlnm.Database,FILESTAT!BM$3,bfy2006_)</f>
        <v>0</v>
      </c>
      <c r="BO23" s="121"/>
      <c r="BP23" s="123">
        <f>DAVERAGE(_xlnm.Database,FILESTAT!BP$3,bfy2006_)</f>
        <v>157.33333333333334</v>
      </c>
      <c r="BR23" s="236"/>
      <c r="BS23" s="126"/>
      <c r="BT23" s="237"/>
      <c r="BV23" s="110">
        <f>DSUM(_xlnm.Database,FILESTAT!BV$3,bfy2006_)</f>
        <v>35</v>
      </c>
      <c r="BW23" s="111">
        <f>DSUM(_xlnm.Database,FILESTAT!BW$3,bfy2006_)</f>
        <v>49</v>
      </c>
      <c r="BX23" s="111">
        <f>DSUM(_xlnm.Database,FILESTAT!BX$3,bfy2006_)</f>
        <v>7</v>
      </c>
      <c r="BY23" s="111">
        <f>DSUM(_xlnm.Database,FILESTAT!BY$3,bfy2006_)</f>
        <v>0</v>
      </c>
      <c r="BZ23" s="111">
        <f>DSUM(_xlnm.Database,FILESTAT!BZ$3,bfy2006_)</f>
        <v>0</v>
      </c>
      <c r="CA23" s="111">
        <f>DSUM(_xlnm.Database,FILESTAT!CA$3,bfy2006_)</f>
        <v>0</v>
      </c>
      <c r="CB23" s="111">
        <f>DSUM(_xlnm.Database,FILESTAT!CB$3,bfy2006_)</f>
        <v>0</v>
      </c>
      <c r="CC23" s="289">
        <f>DSUM(_xlnm.Database,FILESTAT!CC$3,bfy2006_)</f>
        <v>0</v>
      </c>
      <c r="CD23" s="111">
        <f>DSUM(_xlnm.Database,FILESTAT!CD$3,bfy2006_)</f>
        <v>84</v>
      </c>
      <c r="CE23" s="111">
        <f>DSUM(_xlnm.Database,FILESTAT!CE$3,bfy2006_)</f>
        <v>9</v>
      </c>
      <c r="CF23" s="111">
        <f>DSUM(_xlnm.Database,FILESTAT!CF$3,bfy2006_)</f>
        <v>29</v>
      </c>
      <c r="CG23" s="111">
        <f>DSUM(_xlnm.Database,FILESTAT!CG$3,bfy2006_)</f>
        <v>14</v>
      </c>
      <c r="CH23" s="111">
        <f>DSUM(_xlnm.Database,FILESTAT!CH$3,bfy2006_)</f>
        <v>0</v>
      </c>
      <c r="CI23" s="111">
        <f>DSUM(_xlnm.Database,FILESTAT!CI$3,bfy2006_)</f>
        <v>36</v>
      </c>
      <c r="CJ23" s="111">
        <f>DSUM(_xlnm.Database,FILESTAT!CJ$3,bfy2006_)</f>
        <v>83</v>
      </c>
      <c r="CK23" s="289">
        <f>DSUM(_xlnm.Database,FILESTAT!CK$3,bfy2006_)</f>
        <v>0</v>
      </c>
      <c r="CL23" s="111">
        <f>DSUM(_xlnm.Database,FILESTAT!CL$3,bfy2006_)</f>
        <v>0</v>
      </c>
      <c r="CM23" s="111">
        <f>DSUM(_xlnm.Database,FILESTAT!CM$3,bfy2006_)</f>
        <v>0</v>
      </c>
      <c r="CN23" s="111">
        <f>DSUM(_xlnm.Database,FILESTAT!CN$3,bfy2006_)</f>
        <v>0</v>
      </c>
      <c r="CO23" s="111">
        <f>DSUM(_xlnm.Database,FILESTAT!CO$3,bfy2006_)</f>
        <v>65</v>
      </c>
      <c r="CP23" s="289">
        <f>DSUM(_xlnm.Database,FILESTAT!CP$3,bfy2006_)</f>
        <v>0</v>
      </c>
      <c r="CQ23" s="111">
        <f>DSUM(_xlnm.Database,FILESTAT!CQ$3,bfy2006_)</f>
        <v>0</v>
      </c>
      <c r="CR23" s="111">
        <f>DSUM(_xlnm.Database,FILESTAT!CR$3,bfy2006_)</f>
        <v>0</v>
      </c>
      <c r="CS23" s="111">
        <f>DSUM(_xlnm.Database,FILESTAT!CS$3,bfy2006_)</f>
        <v>17</v>
      </c>
      <c r="CT23" s="111">
        <f>DSUM(_xlnm.Database,FILESTAT!CT$3,bfy2006_)</f>
        <v>45</v>
      </c>
      <c r="CU23" s="289">
        <f>DSUM(_xlnm.Database,FILESTAT!CU$3,bfy2006_)</f>
        <v>0</v>
      </c>
      <c r="CV23" s="111">
        <f>DSUM(_xlnm.Database,FILESTAT!CV$3,bfy2006_)</f>
        <v>56</v>
      </c>
      <c r="CW23" s="111">
        <f>DSUM(_xlnm.Database,FILESTAT!CW$3,bfy2006_)</f>
        <v>0</v>
      </c>
      <c r="CX23" s="111">
        <f>DSUM(_xlnm.Database,FILESTAT!CX$3,bfy2006_)</f>
        <v>0</v>
      </c>
      <c r="CY23" s="111">
        <f>DSUM(_xlnm.Database,FILESTAT!CY$3,bfy2006_)</f>
        <v>24</v>
      </c>
      <c r="CZ23" s="111">
        <f>DSUM(_xlnm.Database,FILESTAT!CZ$3,bfy2006_)</f>
        <v>0</v>
      </c>
      <c r="DA23" s="111">
        <f>DSUM(_xlnm.Database,FILESTAT!DA$3,bfy2006_)</f>
        <v>0</v>
      </c>
      <c r="DB23" s="111">
        <f>DSUM(_xlnm.Database,FILESTAT!DB$3,bfy2006_)</f>
        <v>107</v>
      </c>
      <c r="DC23" s="111">
        <f>DSUM(_xlnm.Database,FILESTAT!DC$3,bfy2006_)</f>
        <v>0</v>
      </c>
      <c r="DD23" s="111">
        <f>DSUM(_xlnm.Database,FILESTAT!DD$3,bfy2006_)</f>
        <v>0</v>
      </c>
      <c r="DE23" s="111">
        <f>DSUM(_xlnm.Database,FILESTAT!DE$3,bfy2006_)</f>
        <v>0</v>
      </c>
      <c r="DF23" s="111">
        <f>DSUM(_xlnm.Database,FILESTAT!DF$3,bfy2006_)</f>
        <v>0</v>
      </c>
      <c r="DG23" s="111">
        <f>DSUM(_xlnm.Database,FILESTAT!DG$3,bfy2006_)</f>
        <v>31</v>
      </c>
      <c r="DH23" s="111">
        <f>DSUM(_xlnm.Database,FILESTAT!DH$3,bfy2006_)</f>
        <v>10</v>
      </c>
      <c r="DI23" s="111">
        <f>DSUM(_xlnm.Database,FILESTAT!DI$3,bfy2006_)</f>
        <v>4</v>
      </c>
      <c r="DJ23" s="111">
        <f>DSUM(_xlnm.Database,FILESTAT!DJ$3,bfy2006_)</f>
        <v>6</v>
      </c>
      <c r="DK23" s="111">
        <f>DSUM(_xlnm.Database,FILESTAT!DK$3,bfy2006_)</f>
        <v>0</v>
      </c>
      <c r="DL23" s="111">
        <f>DSUM(_xlnm.Database,FILESTAT!DL$3,bfy2006_)</f>
        <v>0</v>
      </c>
      <c r="DM23" s="111">
        <f>DSUM(_xlnm.Database,FILESTAT!DM$3,bfy2006_)</f>
        <v>15</v>
      </c>
      <c r="DN23" s="111">
        <f>DSUM(_xlnm.Database,FILESTAT!DN$3,bfy2006_)</f>
        <v>2</v>
      </c>
      <c r="DO23" s="111">
        <f>DSUM(_xlnm.Database,FILESTAT!DO$3,bfy2006_)</f>
        <v>29</v>
      </c>
      <c r="DP23" s="111">
        <f>DSUM(_xlnm.Database,FILESTAT!DP$3,bfy2006_)</f>
        <v>0</v>
      </c>
      <c r="DQ23" s="111">
        <f>DSUM(_xlnm.Database,FILESTAT!DQ$3,bfy2006_)</f>
        <v>0</v>
      </c>
      <c r="DS23" s="111">
        <f>DSUM(_xlnm.Database,FILESTAT!DS$3,bfy2006_)</f>
        <v>64</v>
      </c>
      <c r="DT23" s="111">
        <f>DSUM(_xlnm.Database,FILESTAT!DT$3,bfy2006_)</f>
        <v>20</v>
      </c>
      <c r="DU23" s="111">
        <f>DSUM(_xlnm.Database,FILESTAT!DU$3,bfy2006_)</f>
        <v>6</v>
      </c>
      <c r="DV23" s="127">
        <f t="shared" si="8"/>
        <v>847</v>
      </c>
      <c r="DW23" s="128"/>
    </row>
    <row r="24" spans="1:130" s="111" customFormat="1">
      <c r="A24" s="119">
        <v>2007</v>
      </c>
      <c r="B24" s="189"/>
      <c r="C24" s="110">
        <f>DSUM(_xlnm.Database,FILESTAT!C$3,bfy2007_)</f>
        <v>57</v>
      </c>
      <c r="D24" s="111">
        <f>DSUM(_xlnm.Database,FILESTAT!D$3,bfy2007_)</f>
        <v>441</v>
      </c>
      <c r="E24" s="111">
        <f>DSUM(_xlnm.Database,FILESTAT!E$3,bfy2007_)</f>
        <v>18</v>
      </c>
      <c r="F24" s="111">
        <f>DSUM(_xlnm.Database,FILESTAT!F$3,bfy2007_)</f>
        <v>15</v>
      </c>
      <c r="G24" s="111">
        <f>DSUM(_xlnm.Database,FILESTAT!G$3,bfy2007_)</f>
        <v>33</v>
      </c>
      <c r="H24" s="111">
        <f>DSUM(_xlnm.Database,FILESTAT!H$3,bfy2007_)</f>
        <v>4</v>
      </c>
      <c r="I24" s="111">
        <f>DSUM(_xlnm.Database,FILESTAT!I$3,bfy2007_)</f>
        <v>0</v>
      </c>
      <c r="J24" s="111">
        <f>DSUM(_xlnm.Database,FILESTAT!J$3,bfy2007_)</f>
        <v>492</v>
      </c>
      <c r="K24" s="111">
        <f>DSUM(_xlnm.Database,FILESTAT!K$3,bfy2007_)</f>
        <v>39</v>
      </c>
      <c r="L24" s="111">
        <f>DSUM(_xlnm.Database,FILESTAT!L$3,bfy2007_)</f>
        <v>4</v>
      </c>
      <c r="M24" s="111">
        <f>DSUM(_xlnm.Database,FILESTAT!M$3,bfy2007_)</f>
        <v>0</v>
      </c>
      <c r="N24" s="111">
        <f>DSUM(_xlnm.Database,FILESTAT!N$3,bfy2007_)</f>
        <v>0</v>
      </c>
      <c r="O24" s="111">
        <f>DSUM(_xlnm.Database,FILESTAT!O$3,bfy2007_)</f>
        <v>136</v>
      </c>
      <c r="P24" s="111">
        <f>DSUM(_xlnm.Database,FILESTAT!P$3,bfy2007_)</f>
        <v>36</v>
      </c>
      <c r="Q24" s="111">
        <f>DSUM(_xlnm.Database,FILESTAT!Q$3,bfy2007_)</f>
        <v>4</v>
      </c>
      <c r="R24" s="112">
        <f>DSUM(_xlnm.Database,FILESTAT!R$3,bfy2007_)</f>
        <v>2</v>
      </c>
      <c r="S24" s="120">
        <f>IF(SUM(C24:R24)=FILESTAT!S588,SUM(C24:R24),"PROBLEM")</f>
        <v>1281</v>
      </c>
      <c r="T24" s="110">
        <f>DSUM(_xlnm.Database,FILESTAT!T$3,bfy2007_)</f>
        <v>0</v>
      </c>
      <c r="U24" s="110">
        <f>DSUM(_xlnm.Database,FILESTAT!U$3,bfy2007_)</f>
        <v>382</v>
      </c>
      <c r="V24" s="111">
        <f>DSUM(_xlnm.Database,FILESTAT!V$3,bfy2007_)</f>
        <v>340</v>
      </c>
      <c r="W24" s="111">
        <f>DSUM(_xlnm.Database,FILESTAT!W$3,bfy2007_)</f>
        <v>0</v>
      </c>
      <c r="X24" s="112">
        <f>DSUM(_xlnm.Database,FILESTAT!X$3,bfy2007_)</f>
        <v>3</v>
      </c>
      <c r="Z24" s="110">
        <f>DSUM(_xlnm.Database,FILESTAT!Z$3,bfy2007_)</f>
        <v>57316864</v>
      </c>
      <c r="AA24" s="111">
        <f>DSUM(_xlnm.Database,FILESTAT!AA$3,bfy2007_)</f>
        <v>0</v>
      </c>
      <c r="AC24" s="110">
        <f>DSUM(_xlnm.Database,FILESTAT!AC$3,bfy2007_)</f>
        <v>12353243</v>
      </c>
      <c r="AD24" s="111">
        <f>DSUM(_xlnm.Database,FILESTAT!AD$3,bfy2007_)</f>
        <v>0</v>
      </c>
      <c r="AE24" s="120">
        <f t="shared" si="5"/>
        <v>12353243</v>
      </c>
      <c r="AG24" s="110">
        <f>DSUM(_xlnm.Database,FILESTAT!AG$3,bfy2007_)</f>
        <v>1841</v>
      </c>
      <c r="AH24" s="111">
        <f>DSUM(_xlnm.Database,FILESTAT!AH$3,bfy2007_)</f>
        <v>1512</v>
      </c>
      <c r="AI24" s="111">
        <f>DSUM(_xlnm.Database,FILESTAT!AI$3,bfy2007_)</f>
        <v>3650</v>
      </c>
      <c r="AJ24" s="112">
        <f>DSUM(_xlnm.Database,FILESTAT!AJ$3,bfy2007_)</f>
        <v>0</v>
      </c>
      <c r="AL24" s="121">
        <f>DAVERAGE(_xlnm.Database,FILESTAT!AL$3,bfy2007_)</f>
        <v>0</v>
      </c>
      <c r="AM24" s="122">
        <f>DAVERAGE(_xlnm.Database,FILESTAT!AM$3,bfy2007_)</f>
        <v>49.75</v>
      </c>
      <c r="AN24" s="120">
        <f t="shared" si="6"/>
        <v>50</v>
      </c>
      <c r="AO24" s="122"/>
      <c r="AP24" s="122"/>
      <c r="AQ24" s="120">
        <f t="shared" si="7"/>
        <v>0</v>
      </c>
      <c r="AR24" s="122">
        <f>DAVERAGE(_xlnm.Database,FILESTAT!AR$3,bfy2007_)</f>
        <v>137.2608695652174</v>
      </c>
      <c r="AS24" s="122">
        <f>DAVERAGE(_xlnm.Database,FILESTAT!AS$3,bfy2007_)</f>
        <v>55.3</v>
      </c>
      <c r="AT24" s="122">
        <f>DAVERAGE(_xlnm.Database,FILESTAT!AT$3,bfy2007_)</f>
        <v>105.5</v>
      </c>
      <c r="AU24" s="122">
        <f>DAVERAGE(_xlnm.Database,FILESTAT!AU$3,bfy2007_)</f>
        <v>17.600000000000001</v>
      </c>
      <c r="AV24" s="123">
        <f>DAVERAGE(_xlnm.Database,FILESTAT!AV$3,bfy2007_)</f>
        <v>209.95</v>
      </c>
      <c r="AW24"/>
      <c r="AX24" s="356"/>
      <c r="AY24"/>
      <c r="BA24" s="121">
        <f>ROUND(DAVERAGE(_xlnm.Database,FILESTAT!BA$3,bfy2007_),0)</f>
        <v>1849</v>
      </c>
      <c r="BB24" s="122">
        <f>DAVERAGE(_xlnm.Database,FILESTAT!BB$3,bfy2007_)</f>
        <v>45643387.833333336</v>
      </c>
      <c r="BC24" s="122"/>
      <c r="BD24" s="122"/>
      <c r="BE24" s="111">
        <f>DSUM(_xlnm.Database,FILESTAT!BE$3,bfy2007_)</f>
        <v>976</v>
      </c>
      <c r="BF24" s="111">
        <f>DSUM(_xlnm.Database,FILESTAT!BF$3,bfy2007_)</f>
        <v>56</v>
      </c>
      <c r="BG24" s="111">
        <f>DSUM(_xlnm.Database,FILESTAT!BG$3,bfy2007_)</f>
        <v>13</v>
      </c>
      <c r="BI24" s="122">
        <f>DAVERAGE(_xlnm.Database,FILESTAT!BI$3,bfy2007_)</f>
        <v>3399068.4166666665</v>
      </c>
      <c r="BJ24" s="122"/>
      <c r="BK24" s="122"/>
      <c r="BL24" s="122">
        <f>DAVERAGE(_xlnm.Database,FILESTAT!BL$3,bfy2007_)</f>
        <v>1.9166666666666667</v>
      </c>
      <c r="BM24" s="112">
        <f>DSUM(_xlnm.Database,FILESTAT!BM$3,bfy2007_)</f>
        <v>0</v>
      </c>
      <c r="BO24" s="121"/>
      <c r="BP24" s="123">
        <f>DAVERAGE(_xlnm.Database,FILESTAT!BP$3,bfy2007_)</f>
        <v>161.08333333333334</v>
      </c>
      <c r="BR24" s="236"/>
      <c r="BS24" s="126"/>
      <c r="BT24" s="237"/>
      <c r="BV24" s="110">
        <f>DSUM(_xlnm.Database,FILESTAT!BV$3,bfy2007_)</f>
        <v>33</v>
      </c>
      <c r="BW24" s="111">
        <f>DSUM(_xlnm.Database,FILESTAT!BW$3,bfy2007_)</f>
        <v>36</v>
      </c>
      <c r="BX24" s="111">
        <f>DSUM(_xlnm.Database,FILESTAT!BX$3,bfy2007_)</f>
        <v>32</v>
      </c>
      <c r="BY24" s="111">
        <f>DSUM(_xlnm.Database,FILESTAT!BY$3,bfy2007_)</f>
        <v>2</v>
      </c>
      <c r="BZ24" s="111">
        <f>DSUM(_xlnm.Database,FILESTAT!BZ$3,bfy2007_)</f>
        <v>0</v>
      </c>
      <c r="CA24" s="111">
        <f>DSUM(_xlnm.Database,FILESTAT!CA$3,bfy2007_)</f>
        <v>7</v>
      </c>
      <c r="CB24" s="111">
        <f>DSUM(_xlnm.Database,FILESTAT!CB$3,bfy2007_)</f>
        <v>1</v>
      </c>
      <c r="CC24" s="289">
        <f>DSUM(_xlnm.Database,FILESTAT!CC$3,bfy2007_)</f>
        <v>0</v>
      </c>
      <c r="CD24" s="111">
        <f>DSUM(_xlnm.Database,FILESTAT!CD$3,bfy2007_)</f>
        <v>146</v>
      </c>
      <c r="CE24" s="111">
        <f>DSUM(_xlnm.Database,FILESTAT!CE$3,bfy2007_)</f>
        <v>23</v>
      </c>
      <c r="CF24" s="289">
        <f>DSUM(_xlnm.Database,FILESTAT!CF$3,bfy2007_)</f>
        <v>0</v>
      </c>
      <c r="CG24" s="111">
        <f>DSUM(_xlnm.Database,FILESTAT!CG$3,bfy2007_)</f>
        <v>20</v>
      </c>
      <c r="CH24" s="111">
        <f>DSUM(_xlnm.Database,FILESTAT!CH$3,bfy2007_)</f>
        <v>5</v>
      </c>
      <c r="CI24" s="111">
        <f>DSUM(_xlnm.Database,FILESTAT!CI$3,bfy2007_)</f>
        <v>50</v>
      </c>
      <c r="CJ24" s="111">
        <f>DSUM(_xlnm.Database,FILESTAT!CJ$3,bfy2007_)</f>
        <v>230</v>
      </c>
      <c r="CK24" s="289">
        <f>DSUM(_xlnm.Database,FILESTAT!CK$3,bfy2007_)</f>
        <v>0</v>
      </c>
      <c r="CL24" s="111">
        <f>DSUM(_xlnm.Database,FILESTAT!CL$3,bfy2007_)</f>
        <v>5</v>
      </c>
      <c r="CM24" s="111">
        <f>DSUM(_xlnm.Database,FILESTAT!CM$3,bfy2007_)</f>
        <v>8</v>
      </c>
      <c r="CN24" s="111">
        <f>DSUM(_xlnm.Database,FILESTAT!CN$3,bfy2007_)</f>
        <v>8</v>
      </c>
      <c r="CO24" s="111">
        <f>DSUM(_xlnm.Database,FILESTAT!CO$3,bfy2007_)</f>
        <v>98</v>
      </c>
      <c r="CP24" s="289">
        <f>DSUM(_xlnm.Database,FILESTAT!CP$3,bfy2007_)</f>
        <v>0</v>
      </c>
      <c r="CQ24" s="111">
        <f>DSUM(_xlnm.Database,FILESTAT!CQ$3,bfy2007_)</f>
        <v>0</v>
      </c>
      <c r="CR24" s="111">
        <f>DSUM(_xlnm.Database,FILESTAT!CR$3,bfy2007_)</f>
        <v>0</v>
      </c>
      <c r="CS24" s="111">
        <f>DSUM(_xlnm.Database,FILESTAT!CS$3,bfy2007_)</f>
        <v>17</v>
      </c>
      <c r="CT24" s="111">
        <f>DSUM(_xlnm.Database,FILESTAT!CT$3,bfy2007_)</f>
        <v>58</v>
      </c>
      <c r="CU24" s="289">
        <f>DSUM(_xlnm.Database,FILESTAT!CU$3,bfy2007_)</f>
        <v>0</v>
      </c>
      <c r="CV24" s="111">
        <f>DSUM(_xlnm.Database,FILESTAT!CV$3,bfy2007_)</f>
        <v>79</v>
      </c>
      <c r="CW24" s="111">
        <f>DSUM(_xlnm.Database,FILESTAT!CW$3,bfy2007_)</f>
        <v>1</v>
      </c>
      <c r="CX24" s="111">
        <f>DSUM(_xlnm.Database,FILESTAT!CX$3,bfy2007_)</f>
        <v>0</v>
      </c>
      <c r="CY24" s="111">
        <f>DSUM(_xlnm.Database,FILESTAT!CY$3,bfy2007_)</f>
        <v>21</v>
      </c>
      <c r="CZ24" s="111">
        <f>DSUM(_xlnm.Database,FILESTAT!CZ$3,bfy2007_)</f>
        <v>0</v>
      </c>
      <c r="DA24" s="111">
        <f>DSUM(_xlnm.Database,FILESTAT!DA$3,bfy2007_)</f>
        <v>3</v>
      </c>
      <c r="DB24" s="111">
        <f>DSUM(_xlnm.Database,FILESTAT!DB$3,bfy2007_)</f>
        <v>113</v>
      </c>
      <c r="DC24" s="111">
        <f>DSUM(_xlnm.Database,FILESTAT!DC$3,bfy2007_)</f>
        <v>0</v>
      </c>
      <c r="DD24" s="111">
        <f>DSUM(_xlnm.Database,FILESTAT!DD$3,bfy2007_)</f>
        <v>1</v>
      </c>
      <c r="DE24" s="111">
        <f>DSUM(_xlnm.Database,FILESTAT!DE$3,bfy2007_)</f>
        <v>1</v>
      </c>
      <c r="DF24" s="111">
        <f>DSUM(_xlnm.Database,FILESTAT!DF$3,bfy2007_)</f>
        <v>0</v>
      </c>
      <c r="DG24" s="111">
        <f>DSUM(_xlnm.Database,FILESTAT!DG$3,bfy2007_)</f>
        <v>67</v>
      </c>
      <c r="DH24" s="111">
        <f>DSUM(_xlnm.Database,FILESTAT!DH$3,bfy2007_)</f>
        <v>14</v>
      </c>
      <c r="DI24" s="111">
        <f>DSUM(_xlnm.Database,FILESTAT!DI$3,bfy2007_)</f>
        <v>11</v>
      </c>
      <c r="DJ24" s="111">
        <f>DSUM(_xlnm.Database,FILESTAT!DJ$3,bfy2007_)</f>
        <v>7</v>
      </c>
      <c r="DK24" s="111">
        <f>DSUM(_xlnm.Database,FILESTAT!DK$3,bfy2007_)</f>
        <v>3</v>
      </c>
      <c r="DL24" s="111">
        <f>DSUM(_xlnm.Database,FILESTAT!DL$3,bfy2007_)</f>
        <v>0</v>
      </c>
      <c r="DM24" s="111">
        <f>DSUM(_xlnm.Database,FILESTAT!DM$3,bfy2007_)</f>
        <v>71</v>
      </c>
      <c r="DN24" s="111">
        <f>DSUM(_xlnm.Database,FILESTAT!DN$3,bfy2007_)</f>
        <v>4</v>
      </c>
      <c r="DO24" s="111">
        <f>DSUM(_xlnm.Database,FILESTAT!DO$3,bfy2007_)</f>
        <v>47</v>
      </c>
      <c r="DP24" s="111">
        <f>DSUM(_xlnm.Database,FILESTAT!DP$3,bfy2007_)</f>
        <v>0</v>
      </c>
      <c r="DQ24" s="111">
        <f>DSUM(_xlnm.Database,FILESTAT!DQ$3,bfy2007_)</f>
        <v>0</v>
      </c>
      <c r="DS24" s="111">
        <f>DSUM(_xlnm.Database,FILESTAT!DS$3,bfy2007_)</f>
        <v>57</v>
      </c>
      <c r="DT24" s="111">
        <f>DSUM(_xlnm.Database,FILESTAT!DT$3,bfy2007_)</f>
        <v>0</v>
      </c>
      <c r="DU24" s="111">
        <f>DSUM(_xlnm.Database,FILESTAT!DU$3,bfy2007_)</f>
        <v>2</v>
      </c>
      <c r="DV24" s="127">
        <f t="shared" si="8"/>
        <v>1281</v>
      </c>
      <c r="DW24" s="128"/>
    </row>
    <row r="25" spans="1:130" s="111" customFormat="1">
      <c r="A25" s="119">
        <v>2008</v>
      </c>
      <c r="B25" s="189"/>
      <c r="C25" s="110">
        <f>DSUM(_xlnm.Database,FILESTAT!C$3,bfy2008_)</f>
        <v>50</v>
      </c>
      <c r="D25" s="111">
        <f>DSUM(_xlnm.Database,FILESTAT!D$3,bfy2008_)</f>
        <v>441</v>
      </c>
      <c r="E25" s="111">
        <f>DSUM(_xlnm.Database,FILESTAT!E$3,bfy2008_)</f>
        <v>26</v>
      </c>
      <c r="F25" s="111">
        <f>DSUM(_xlnm.Database,FILESTAT!F$3,bfy2008_)</f>
        <v>16</v>
      </c>
      <c r="G25" s="111">
        <f>DSUM(_xlnm.Database,FILESTAT!G$3,bfy2008_)</f>
        <v>18</v>
      </c>
      <c r="H25" s="111">
        <f>DSUM(_xlnm.Database,FILESTAT!H$3,bfy2008_)</f>
        <v>10</v>
      </c>
      <c r="I25" s="111">
        <f>DSUM(_xlnm.Database,FILESTAT!I$3,bfy2008_)</f>
        <v>0</v>
      </c>
      <c r="J25" s="111">
        <f>DSUM(_xlnm.Database,FILESTAT!J$3,bfy2008_)</f>
        <v>614</v>
      </c>
      <c r="K25" s="111">
        <f>DSUM(_xlnm.Database,FILESTAT!K$3,bfy2008_)</f>
        <v>21</v>
      </c>
      <c r="L25" s="111">
        <f>DSUM(_xlnm.Database,FILESTAT!L$3,bfy2008_)</f>
        <v>4</v>
      </c>
      <c r="M25" s="111">
        <f>DSUM(_xlnm.Database,FILESTAT!M$3,bfy2008_)</f>
        <v>2</v>
      </c>
      <c r="N25" s="111">
        <f>DSUM(_xlnm.Database,FILESTAT!N$3,bfy2008_)</f>
        <v>0</v>
      </c>
      <c r="O25" s="111">
        <f>DSUM(_xlnm.Database,FILESTAT!O$3,bfy2008_)</f>
        <v>267</v>
      </c>
      <c r="P25" s="111">
        <f>DSUM(_xlnm.Database,FILESTAT!P$3,bfy2008_)</f>
        <v>42</v>
      </c>
      <c r="Q25" s="111">
        <f>DSUM(_xlnm.Database,FILESTAT!Q$3,bfy2008_)</f>
        <v>5</v>
      </c>
      <c r="R25" s="112">
        <f>DSUM(_xlnm.Database,FILESTAT!R$3,bfy2008_)</f>
        <v>2</v>
      </c>
      <c r="S25" s="120">
        <f>IF(SUM(C25:R25)=FILESTAT!S619,SUM(C25:R25),"PROBLEM")</f>
        <v>1518</v>
      </c>
      <c r="T25" s="110">
        <f>DSUM(_xlnm.Database,FILESTAT!T$3,bfy2008_)</f>
        <v>0</v>
      </c>
      <c r="U25" s="110">
        <f>DSUM(_xlnm.Database,FILESTAT!U$3,bfy2008_)</f>
        <v>580</v>
      </c>
      <c r="V25" s="111">
        <f>DSUM(_xlnm.Database,FILESTAT!V$3,bfy2008_)</f>
        <v>469</v>
      </c>
      <c r="W25" s="111">
        <f>DSUM(_xlnm.Database,FILESTAT!W$3,bfy2008_)</f>
        <v>0</v>
      </c>
      <c r="X25" s="112">
        <f>DSUM(_xlnm.Database,FILESTAT!X$3,bfy2008_)</f>
        <v>2</v>
      </c>
      <c r="Z25" s="110">
        <f>DSUM(_xlnm.Database,FILESTAT!Z$3,bfy2008_)</f>
        <v>63591424</v>
      </c>
      <c r="AA25" s="111">
        <f>DSUM(_xlnm.Database,FILESTAT!AA$3,bfy2008_)</f>
        <v>0</v>
      </c>
      <c r="AC25" s="110">
        <f>DSUM(_xlnm.Database,FILESTAT!AC$3,bfy2008_)</f>
        <v>17378992</v>
      </c>
      <c r="AD25" s="111">
        <f>DSUM(_xlnm.Database,FILESTAT!AD$3,bfy2008_)</f>
        <v>0</v>
      </c>
      <c r="AE25" s="120">
        <f t="shared" si="5"/>
        <v>17378992</v>
      </c>
      <c r="AG25" s="110">
        <f>DSUM(_xlnm.Database,FILESTAT!AG$3,bfy2008_)</f>
        <v>1788</v>
      </c>
      <c r="AH25" s="111">
        <f>DSUM(_xlnm.Database,FILESTAT!AH$3,bfy2008_)</f>
        <v>1673</v>
      </c>
      <c r="AI25" s="111">
        <f>DSUM(_xlnm.Database,FILESTAT!AI$3,bfy2008_)</f>
        <v>3751</v>
      </c>
      <c r="AJ25" s="112">
        <f>DSUM(_xlnm.Database,FILESTAT!AJ$3,bfy2008_)</f>
        <v>0</v>
      </c>
      <c r="AL25" s="121">
        <f>DAVERAGE(_xlnm.Database,FILESTAT!AL$3,bfy2008_)</f>
        <v>0</v>
      </c>
      <c r="AM25" s="122">
        <f>DAVERAGE(_xlnm.Database,FILESTAT!AM$3,bfy2008_)</f>
        <v>43.25</v>
      </c>
      <c r="AN25" s="120">
        <f t="shared" si="6"/>
        <v>43</v>
      </c>
      <c r="AO25" s="122"/>
      <c r="AP25" s="122"/>
      <c r="AQ25" s="120">
        <f t="shared" si="7"/>
        <v>0</v>
      </c>
      <c r="AR25" s="122">
        <f>DAVERAGE(_xlnm.Database,FILESTAT!AR$3,bfy2008_)</f>
        <v>137.125</v>
      </c>
      <c r="AS25" s="122">
        <f>DAVERAGE(_xlnm.Database,FILESTAT!AS$3,bfy2008_)</f>
        <v>53.153846153846153</v>
      </c>
      <c r="AT25" s="122">
        <f>DAVERAGE(_xlnm.Database,FILESTAT!AT$3,bfy2008_)</f>
        <v>114.53846153846153</v>
      </c>
      <c r="AU25" s="122">
        <f>DAVERAGE(_xlnm.Database,FILESTAT!AU$3,bfy2008_)</f>
        <v>16.692307692307693</v>
      </c>
      <c r="AV25" s="123">
        <f>DAVERAGE(_xlnm.Database,FILESTAT!AV$3,bfy2008_)</f>
        <v>220.38461538461539</v>
      </c>
      <c r="AW25"/>
      <c r="AX25" s="356"/>
      <c r="AY25"/>
      <c r="BA25" s="121">
        <f>ROUND(DAVERAGE(_xlnm.Database,FILESTAT!BA$3,bfy2008_),0)</f>
        <v>1871</v>
      </c>
      <c r="BB25" s="122">
        <f>DAVERAGE(_xlnm.Database,FILESTAT!BB$3,bfy2008_)</f>
        <v>50730100.166666664</v>
      </c>
      <c r="BC25" s="122"/>
      <c r="BD25" s="122"/>
      <c r="BE25" s="111">
        <f>DSUM(_xlnm.Database,FILESTAT!BE$3,bfy2008_)</f>
        <v>1118</v>
      </c>
      <c r="BF25" s="111">
        <f>DSUM(_xlnm.Database,FILESTAT!BF$3,bfy2008_)</f>
        <v>41</v>
      </c>
      <c r="BG25" s="111">
        <f>DSUM(_xlnm.Database,FILESTAT!BG$3,bfy2008_)</f>
        <v>30</v>
      </c>
      <c r="BI25" s="122">
        <f>DAVERAGE(_xlnm.Database,FILESTAT!BI$3,bfy2008_)</f>
        <v>3635317.6666666665</v>
      </c>
      <c r="BJ25" s="122"/>
      <c r="BK25" s="122"/>
      <c r="BL25" s="122">
        <f>DAVERAGE(_xlnm.Database,FILESTAT!BL$3,bfy2008_)</f>
        <v>14.416666666666666</v>
      </c>
      <c r="BM25" s="112">
        <f>DSUM(_xlnm.Database,FILESTAT!BM$3,bfy2008_)</f>
        <v>0</v>
      </c>
      <c r="BO25" s="121"/>
      <c r="BP25" s="123">
        <f>DAVERAGE(_xlnm.Database,FILESTAT!BP$3,bfy2008_)</f>
        <v>161.5</v>
      </c>
      <c r="BR25" s="236"/>
      <c r="BS25" s="126"/>
      <c r="BT25" s="237"/>
      <c r="BV25" s="110">
        <f>DSUM(_xlnm.Database,FILESTAT!BV$3,bfy2008_)</f>
        <v>65</v>
      </c>
      <c r="BW25" s="111">
        <f>DSUM(_xlnm.Database,FILESTAT!BW$3,bfy2008_)</f>
        <v>29</v>
      </c>
      <c r="BX25" s="111">
        <f>DSUM(_xlnm.Database,FILESTAT!BX$3,bfy2008_)</f>
        <v>21</v>
      </c>
      <c r="BY25" s="111">
        <f>DSUM(_xlnm.Database,FILESTAT!BY$3,bfy2008_)</f>
        <v>1</v>
      </c>
      <c r="BZ25" s="111">
        <f>DSUM(_xlnm.Database,FILESTAT!BZ$3,bfy2008_)</f>
        <v>12</v>
      </c>
      <c r="CA25" s="111">
        <f>DSUM(_xlnm.Database,FILESTAT!CA$3,bfy2008_)</f>
        <v>4</v>
      </c>
      <c r="CB25" s="111">
        <f>DSUM(_xlnm.Database,FILESTAT!CB$3,bfy2008_)</f>
        <v>1</v>
      </c>
      <c r="CC25" s="289">
        <f>DSUM(_xlnm.Database,FILESTAT!CC$3,bfy2008_)</f>
        <v>0</v>
      </c>
      <c r="CD25" s="111">
        <f>DSUM(_xlnm.Database,FILESTAT!CD$3,bfy2008_)</f>
        <v>123</v>
      </c>
      <c r="CE25" s="111">
        <f>DSUM(_xlnm.Database,FILESTAT!CE$3,bfy2008_)</f>
        <v>25</v>
      </c>
      <c r="CF25" s="289">
        <f>DSUM(_xlnm.Database,FILESTAT!CF$3,bfy2008_)</f>
        <v>0</v>
      </c>
      <c r="CG25" s="111">
        <f>DSUM(_xlnm.Database,FILESTAT!CG$3,bfy2008_)</f>
        <v>7</v>
      </c>
      <c r="CH25" s="111">
        <f>DSUM(_xlnm.Database,FILESTAT!CH$3,bfy2008_)</f>
        <v>30</v>
      </c>
      <c r="CI25" s="111">
        <f>DSUM(_xlnm.Database,FILESTAT!CI$3,bfy2008_)</f>
        <v>106</v>
      </c>
      <c r="CJ25" s="111">
        <f>DSUM(_xlnm.Database,FILESTAT!CJ$3,bfy2008_)</f>
        <v>132</v>
      </c>
      <c r="CK25" s="289">
        <f>DSUM(_xlnm.Database,FILESTAT!CK$3,bfy2008_)</f>
        <v>0</v>
      </c>
      <c r="CL25" s="111">
        <f>DSUM(_xlnm.Database,FILESTAT!CL$3,bfy2008_)</f>
        <v>0</v>
      </c>
      <c r="CM25" s="111">
        <f>DSUM(_xlnm.Database,FILESTAT!CM$3,bfy2008_)</f>
        <v>29</v>
      </c>
      <c r="CN25" s="111">
        <f>DSUM(_xlnm.Database,FILESTAT!CN$3,bfy2008_)</f>
        <v>7</v>
      </c>
      <c r="CO25" s="111">
        <f>DSUM(_xlnm.Database,FILESTAT!CO$3,bfy2008_)</f>
        <v>164</v>
      </c>
      <c r="CP25" s="289">
        <f>DSUM(_xlnm.Database,FILESTAT!CP$3,bfy2008_)</f>
        <v>0</v>
      </c>
      <c r="CQ25" s="111">
        <f>DSUM(_xlnm.Database,FILESTAT!CQ$3,bfy2008_)</f>
        <v>8</v>
      </c>
      <c r="CR25" s="111">
        <f>DSUM(_xlnm.Database,FILESTAT!CR$3,bfy2008_)</f>
        <v>0</v>
      </c>
      <c r="CS25" s="111">
        <f>DSUM(_xlnm.Database,FILESTAT!CS$3,bfy2008_)</f>
        <v>33</v>
      </c>
      <c r="CT25" s="111">
        <f>DSUM(_xlnm.Database,FILESTAT!CT$3,bfy2008_)</f>
        <v>122</v>
      </c>
      <c r="CU25" s="289">
        <f>DSUM(_xlnm.Database,FILESTAT!CU$3,bfy2008_)</f>
        <v>0</v>
      </c>
      <c r="CV25" s="111">
        <f>DSUM(_xlnm.Database,FILESTAT!CV$3,bfy2008_)</f>
        <v>52</v>
      </c>
      <c r="CW25" s="111">
        <f>DSUM(_xlnm.Database,FILESTAT!CW$3,bfy2008_)</f>
        <v>0</v>
      </c>
      <c r="CX25" s="111">
        <f>DSUM(_xlnm.Database,FILESTAT!CX$3,bfy2008_)</f>
        <v>0</v>
      </c>
      <c r="CY25" s="111">
        <f>DSUM(_xlnm.Database,FILESTAT!CY$3,bfy2008_)</f>
        <v>56</v>
      </c>
      <c r="CZ25" s="111">
        <f>DSUM(_xlnm.Database,FILESTAT!CZ$3,bfy2008_)</f>
        <v>1</v>
      </c>
      <c r="DA25" s="111">
        <f>DSUM(_xlnm.Database,FILESTAT!DA$3,bfy2008_)</f>
        <v>4</v>
      </c>
      <c r="DB25" s="111">
        <f>DSUM(_xlnm.Database,FILESTAT!DB$3,bfy2008_)</f>
        <v>164</v>
      </c>
      <c r="DC25" s="111">
        <f>DSUM(_xlnm.Database,FILESTAT!DC$3,bfy2008_)</f>
        <v>35</v>
      </c>
      <c r="DD25" s="111">
        <f>DSUM(_xlnm.Database,FILESTAT!DD$3,bfy2008_)</f>
        <v>5</v>
      </c>
      <c r="DE25" s="111">
        <f>DSUM(_xlnm.Database,FILESTAT!DE$3,bfy2008_)</f>
        <v>1</v>
      </c>
      <c r="DF25" s="111">
        <f>DSUM(_xlnm.Database,FILESTAT!DF$3,bfy2008_)</f>
        <v>1</v>
      </c>
      <c r="DG25" s="111">
        <f>DSUM(_xlnm.Database,FILESTAT!DG$3,bfy2008_)</f>
        <v>73</v>
      </c>
      <c r="DH25" s="111">
        <f>DSUM(_xlnm.Database,FILESTAT!DH$3,bfy2008_)</f>
        <v>27</v>
      </c>
      <c r="DI25" s="111">
        <f>DSUM(_xlnm.Database,FILESTAT!DI$3,bfy2008_)</f>
        <v>46</v>
      </c>
      <c r="DJ25" s="111">
        <f>DSUM(_xlnm.Database,FILESTAT!DJ$3,bfy2008_)</f>
        <v>18</v>
      </c>
      <c r="DK25" s="111">
        <f>DSUM(_xlnm.Database,FILESTAT!DK$3,bfy2008_)</f>
        <v>0</v>
      </c>
      <c r="DL25" s="111">
        <f>DSUM(_xlnm.Database,FILESTAT!DL$3,bfy2008_)</f>
        <v>3</v>
      </c>
      <c r="DM25" s="111">
        <f>DSUM(_xlnm.Database,FILESTAT!DM$3,bfy2008_)</f>
        <v>54</v>
      </c>
      <c r="DN25" s="111">
        <f>DSUM(_xlnm.Database,FILESTAT!DN$3,bfy2008_)</f>
        <v>1</v>
      </c>
      <c r="DO25" s="111">
        <f>DSUM(_xlnm.Database,FILESTAT!DO$3,bfy2008_)</f>
        <v>22</v>
      </c>
      <c r="DP25" s="111">
        <f>DSUM(_xlnm.Database,FILESTAT!DP$3,bfy2008_)</f>
        <v>0</v>
      </c>
      <c r="DQ25" s="111">
        <f>DSUM(_xlnm.Database,FILESTAT!DQ$3,bfy2008_)</f>
        <v>2</v>
      </c>
      <c r="DS25" s="111">
        <f>DSUM(_xlnm.Database,FILESTAT!DS$3,bfy2008_)</f>
        <v>32</v>
      </c>
      <c r="DT25" s="111">
        <f>DSUM(_xlnm.Database,FILESTAT!DT$3,bfy2008_)</f>
        <v>0</v>
      </c>
      <c r="DU25" s="111">
        <f>DSUM(_xlnm.Database,FILESTAT!DU$3,bfy2008_)</f>
        <v>2</v>
      </c>
      <c r="DV25" s="127">
        <f t="shared" si="8"/>
        <v>1518</v>
      </c>
      <c r="DW25" s="128"/>
    </row>
    <row r="26" spans="1:130" s="111" customFormat="1">
      <c r="A26" s="119">
        <v>2009</v>
      </c>
      <c r="B26" s="189"/>
      <c r="C26" s="110">
        <f>DSUM(_xlnm.Database,FILESTAT!C$3,bfy2009_)</f>
        <v>72</v>
      </c>
      <c r="D26" s="111">
        <f>DSUM(_xlnm.Database,FILESTAT!D$3,bfy2009_)</f>
        <v>479</v>
      </c>
      <c r="E26" s="111">
        <f>DSUM(_xlnm.Database,FILESTAT!E$3,bfy2009_)</f>
        <v>11</v>
      </c>
      <c r="F26" s="111">
        <f>DSUM(_xlnm.Database,FILESTAT!F$3,bfy2009_)</f>
        <v>14</v>
      </c>
      <c r="G26" s="111">
        <f>DSUM(_xlnm.Database,FILESTAT!G$3,bfy2009_)</f>
        <v>21</v>
      </c>
      <c r="H26" s="111">
        <f>DSUM(_xlnm.Database,FILESTAT!H$3,bfy2009_)</f>
        <v>46</v>
      </c>
      <c r="I26" s="111">
        <f>DSUM(_xlnm.Database,FILESTAT!I$3,bfy2009_)</f>
        <v>0</v>
      </c>
      <c r="J26" s="111">
        <f>DSUM(_xlnm.Database,FILESTAT!J$3,bfy2009_)</f>
        <v>228</v>
      </c>
      <c r="K26" s="111">
        <f>DSUM(_xlnm.Database,FILESTAT!K$3,bfy2009_)</f>
        <v>7</v>
      </c>
      <c r="L26" s="111">
        <f>DSUM(_xlnm.Database,FILESTAT!L$3,bfy2009_)</f>
        <v>1</v>
      </c>
      <c r="M26" s="111">
        <f>DSUM(_xlnm.Database,FILESTAT!M$3,bfy2009_)</f>
        <v>3</v>
      </c>
      <c r="N26" s="111">
        <f>DSUM(_xlnm.Database,FILESTAT!N$3,bfy2009_)</f>
        <v>0</v>
      </c>
      <c r="O26" s="111">
        <f>DSUM(_xlnm.Database,FILESTAT!O$3,bfy2009_)</f>
        <v>276</v>
      </c>
      <c r="P26" s="111">
        <f>DSUM(_xlnm.Database,FILESTAT!P$3,bfy2009_)</f>
        <v>40</v>
      </c>
      <c r="Q26" s="111">
        <f>DSUM(_xlnm.Database,FILESTAT!Q$3,bfy2009_)</f>
        <v>1</v>
      </c>
      <c r="R26" s="112">
        <f>DSUM(_xlnm.Database,FILESTAT!R$3,bfy2009_)</f>
        <v>0</v>
      </c>
      <c r="S26" s="120">
        <f>IF(SUM(C26:R26)=FILESTAT!S650,SUM(C26:R26),"PROBLEM")</f>
        <v>1199</v>
      </c>
      <c r="T26" s="131">
        <f>DSUM(_xlnm.Database,FILESTAT!T$3,bfy2009_)</f>
        <v>0</v>
      </c>
      <c r="U26" s="111">
        <f>DSUM(_xlnm.Database,FILESTAT!U$3,bfy2009_)</f>
        <v>348</v>
      </c>
      <c r="V26" s="111">
        <f>DSUM(_xlnm.Database,FILESTAT!V$3,bfy2009_)</f>
        <v>281</v>
      </c>
      <c r="W26" s="111">
        <f>DSUM(_xlnm.Database,FILESTAT!W$3,bfy2009_)</f>
        <v>0</v>
      </c>
      <c r="X26" s="112">
        <f>DSUM(_xlnm.Database,FILESTAT!X$3,bfy2009_)</f>
        <v>3</v>
      </c>
      <c r="Z26" s="110">
        <f>DSUM(_xlnm.Database,FILESTAT!Z$3,bfy2009_)</f>
        <v>62962152</v>
      </c>
      <c r="AA26" s="111">
        <f>DSUM(_xlnm.Database,FILESTAT!AA$3,bfy2009_)</f>
        <v>0</v>
      </c>
      <c r="AC26" s="110">
        <f>DSUM(_xlnm.Database,FILESTAT!AC$3,bfy2009_)</f>
        <v>19648904</v>
      </c>
      <c r="AD26" s="111">
        <f>DSUM(_xlnm.Database,FILESTAT!AD$3,bfy2009_)</f>
        <v>0</v>
      </c>
      <c r="AE26" s="120">
        <f t="shared" si="5"/>
        <v>19648904</v>
      </c>
      <c r="AG26" s="110">
        <f>DSUM(_xlnm.Database,FILESTAT!AG$3,bfy2009_)</f>
        <v>1771</v>
      </c>
      <c r="AH26" s="111">
        <f>DSUM(_xlnm.Database,FILESTAT!AH$3,bfy2009_)</f>
        <v>1664</v>
      </c>
      <c r="AI26" s="111">
        <f>DSUM(_xlnm.Database,FILESTAT!AI$3,bfy2009_)</f>
        <v>3738</v>
      </c>
      <c r="AJ26" s="112">
        <f>DSUM(_xlnm.Database,FILESTAT!AJ$3,bfy2009_)</f>
        <v>0</v>
      </c>
      <c r="AL26" s="121">
        <f>DAVERAGE(_xlnm.Database,FILESTAT!AL$3,bfy2009_)</f>
        <v>0</v>
      </c>
      <c r="AM26" s="122">
        <f>DAVERAGE(_xlnm.Database,FILESTAT!AM$3,bfy2009_)</f>
        <v>39.25</v>
      </c>
      <c r="AN26" s="120">
        <f t="shared" ref="AN26:AN31" si="9">ROUND(SUM(AL26:AM26),0)</f>
        <v>39</v>
      </c>
      <c r="AO26" s="122"/>
      <c r="AP26" s="122"/>
      <c r="AQ26" s="120">
        <f t="shared" ref="AQ26:AQ31" si="10">ROUND(SUM(AO26:AP26),0)</f>
        <v>0</v>
      </c>
      <c r="AR26" s="122">
        <f>DAVERAGE(_xlnm.Database,FILESTAT!AR$3,bfy2009_)</f>
        <v>137.375</v>
      </c>
      <c r="AS26" s="122">
        <f>DAVERAGE(_xlnm.Database,FILESTAT!AS$3,bfy2009_)</f>
        <v>82.235294117647058</v>
      </c>
      <c r="AT26" s="122">
        <f>DAVERAGE(_xlnm.Database,FILESTAT!AT$3,bfy2009_)</f>
        <v>132.8235294117647</v>
      </c>
      <c r="AU26" s="122">
        <f>DAVERAGE(_xlnm.Database,FILESTAT!AU$3,bfy2009_)</f>
        <v>17</v>
      </c>
      <c r="AV26" s="123">
        <f>DAVERAGE(_xlnm.Database,FILESTAT!AV$3,bfy2009_)</f>
        <v>278.35294117647061</v>
      </c>
      <c r="AW26"/>
      <c r="AX26" s="356"/>
      <c r="AY26"/>
      <c r="BA26" s="121">
        <f>ROUND(DAVERAGE(_xlnm.Database,FILESTAT!BA$3,bfy2009_),0)</f>
        <v>1916</v>
      </c>
      <c r="BB26" s="122">
        <f>DAVERAGE(_xlnm.Database,FILESTAT!BB$3,bfy2009_)</f>
        <v>57235961.75</v>
      </c>
      <c r="BC26" s="122"/>
      <c r="BD26" s="122"/>
      <c r="BE26" s="111">
        <f>DSUM(_xlnm.Database,FILESTAT!BE$3,bfy2009_)</f>
        <v>936</v>
      </c>
      <c r="BF26" s="111">
        <f>DSUM(_xlnm.Database,FILESTAT!BF$3,bfy2009_)</f>
        <v>77</v>
      </c>
      <c r="BG26" s="111">
        <f>DSUM(_xlnm.Database,FILESTAT!BG$3,bfy2009_)</f>
        <v>7</v>
      </c>
      <c r="BI26" s="122">
        <f>DAVERAGE(_xlnm.Database,FILESTAT!BI$3,bfy2009_)</f>
        <v>3794218.0833333335</v>
      </c>
      <c r="BJ26" s="122"/>
      <c r="BK26" s="122"/>
      <c r="BL26" s="122">
        <f>DAVERAGE(_xlnm.Database,FILESTAT!BL$3,bfy2009_)</f>
        <v>38.666666666666664</v>
      </c>
      <c r="BM26" s="112">
        <f>DSUM(_xlnm.Database,FILESTAT!BM$3,bfy2009_)</f>
        <v>0</v>
      </c>
      <c r="BO26" s="121"/>
      <c r="BP26" s="123">
        <f>DAVERAGE(_xlnm.Database,FILESTAT!BP$3,bfy2009_)</f>
        <v>162.66666666666666</v>
      </c>
      <c r="BR26" s="236"/>
      <c r="BS26" s="126"/>
      <c r="BT26" s="237"/>
      <c r="BV26" s="110">
        <f>DSUM(_xlnm.Database,FILESTAT!BV$3,bfy2009_)</f>
        <v>63</v>
      </c>
      <c r="BW26" s="111">
        <f>DSUM(_xlnm.Database,FILESTAT!BW$3,bfy2009_)</f>
        <v>21</v>
      </c>
      <c r="BX26" s="111">
        <f>DSUM(_xlnm.Database,FILESTAT!BX$3,bfy2009_)</f>
        <v>73</v>
      </c>
      <c r="BY26" s="111">
        <f>DSUM(_xlnm.Database,FILESTAT!BY$3,bfy2009_)</f>
        <v>0</v>
      </c>
      <c r="BZ26" s="111">
        <f>DSUM(_xlnm.Database,FILESTAT!BZ$3,bfy2009_)</f>
        <v>0</v>
      </c>
      <c r="CA26" s="111">
        <f>DSUM(_xlnm.Database,FILESTAT!CA$3,bfy2009_)</f>
        <v>1</v>
      </c>
      <c r="CB26" s="111">
        <f>DSUM(_xlnm.Database,FILESTAT!CB$3,bfy2009_)</f>
        <v>8</v>
      </c>
      <c r="CC26" s="289">
        <f>DSUM(_xlnm.Database,FILESTAT!CC$3,bfy2009_)</f>
        <v>0</v>
      </c>
      <c r="CD26" s="111">
        <f>DSUM(_xlnm.Database,FILESTAT!CD$3,bfy2009_)</f>
        <v>103</v>
      </c>
      <c r="CE26" s="111">
        <f>DSUM(_xlnm.Database,FILESTAT!CE$3,bfy2009_)</f>
        <v>11</v>
      </c>
      <c r="CF26" s="289">
        <f>DSUM(_xlnm.Database,FILESTAT!CF$3,bfy2009_)</f>
        <v>0</v>
      </c>
      <c r="CG26" s="111">
        <f>DSUM(_xlnm.Database,FILESTAT!CG$3,bfy2009_)</f>
        <v>4</v>
      </c>
      <c r="CH26" s="111">
        <f>DSUM(_xlnm.Database,FILESTAT!CH$3,bfy2009_)</f>
        <v>11</v>
      </c>
      <c r="CI26" s="111">
        <f>DSUM(_xlnm.Database,FILESTAT!CI$3,bfy2009_)</f>
        <v>119</v>
      </c>
      <c r="CJ26" s="111">
        <f>DSUM(_xlnm.Database,FILESTAT!CJ$3,bfy2009_)</f>
        <v>70</v>
      </c>
      <c r="CK26" s="289">
        <f>DSUM(_xlnm.Database,FILESTAT!CK$3,bfy2009_)</f>
        <v>0</v>
      </c>
      <c r="CL26" s="111">
        <f>DSUM(_xlnm.Database,FILESTAT!CL$3,bfy2009_)</f>
        <v>0</v>
      </c>
      <c r="CM26" s="111">
        <f>DSUM(_xlnm.Database,FILESTAT!CM$3,bfy2009_)</f>
        <v>4</v>
      </c>
      <c r="CN26" s="111">
        <f>DSUM(_xlnm.Database,FILESTAT!CN$3,bfy2009_)</f>
        <v>2</v>
      </c>
      <c r="CO26" s="111">
        <f>DSUM(_xlnm.Database,FILESTAT!CO$3,bfy2009_)</f>
        <v>128</v>
      </c>
      <c r="CP26" s="289">
        <f>DSUM(_xlnm.Database,FILESTAT!CP$3,bfy2009_)</f>
        <v>0</v>
      </c>
      <c r="CQ26" s="111">
        <f>DSUM(_xlnm.Database,FILESTAT!CQ$3,bfy2009_)</f>
        <v>4</v>
      </c>
      <c r="CR26" s="111">
        <f>DSUM(_xlnm.Database,FILESTAT!CR$3,bfy2009_)</f>
        <v>0</v>
      </c>
      <c r="CS26" s="111">
        <f>DSUM(_xlnm.Database,FILESTAT!CS$3,bfy2009_)</f>
        <v>23</v>
      </c>
      <c r="CT26" s="111">
        <f>DSUM(_xlnm.Database,FILESTAT!CT$3,bfy2009_)</f>
        <v>90</v>
      </c>
      <c r="CU26" s="289">
        <f>DSUM(_xlnm.Database,FILESTAT!CU$3,bfy2009_)</f>
        <v>0</v>
      </c>
      <c r="CV26" s="111">
        <f>DSUM(_xlnm.Database,FILESTAT!CV$3,bfy2009_)</f>
        <v>73</v>
      </c>
      <c r="CW26" s="111">
        <f>DSUM(_xlnm.Database,FILESTAT!CW$3,bfy2009_)</f>
        <v>3</v>
      </c>
      <c r="CX26" s="111">
        <f>DSUM(_xlnm.Database,FILESTAT!CX$3,bfy2009_)</f>
        <v>2</v>
      </c>
      <c r="CY26" s="111">
        <f>DSUM(_xlnm.Database,FILESTAT!CY$3,bfy2009_)</f>
        <v>27</v>
      </c>
      <c r="CZ26" s="111">
        <f>DSUM(_xlnm.Database,FILESTAT!CZ$3,bfy2009_)</f>
        <v>6</v>
      </c>
      <c r="DA26" s="111">
        <f>DSUM(_xlnm.Database,FILESTAT!DA$3,bfy2009_)</f>
        <v>4</v>
      </c>
      <c r="DB26" s="111">
        <f>DSUM(_xlnm.Database,FILESTAT!DB$3,bfy2009_)</f>
        <v>114</v>
      </c>
      <c r="DC26" s="111">
        <f>DSUM(_xlnm.Database,FILESTAT!DC$3,bfy2009_)</f>
        <v>25</v>
      </c>
      <c r="DD26" s="111">
        <f>DSUM(_xlnm.Database,FILESTAT!DD$3,bfy2009_)</f>
        <v>3</v>
      </c>
      <c r="DE26" s="111">
        <f>DSUM(_xlnm.Database,FILESTAT!DE$3,bfy2009_)</f>
        <v>1</v>
      </c>
      <c r="DF26" s="111">
        <f>DSUM(_xlnm.Database,FILESTAT!DF$3,bfy2009_)</f>
        <v>0</v>
      </c>
      <c r="DG26" s="111">
        <f>DSUM(_xlnm.Database,FILESTAT!DG$3,bfy2009_)</f>
        <v>54</v>
      </c>
      <c r="DH26" s="111">
        <f>DSUM(_xlnm.Database,FILESTAT!DH$3,bfy2009_)</f>
        <v>19</v>
      </c>
      <c r="DI26" s="111">
        <f>DSUM(_xlnm.Database,FILESTAT!DI$3,bfy2009_)</f>
        <v>7</v>
      </c>
      <c r="DJ26" s="111">
        <f>DSUM(_xlnm.Database,FILESTAT!DJ$3,bfy2009_)</f>
        <v>4</v>
      </c>
      <c r="DK26" s="111">
        <f>DSUM(_xlnm.Database,FILESTAT!DK$3,bfy2009_)</f>
        <v>0</v>
      </c>
      <c r="DL26" s="111">
        <f>DSUM(_xlnm.Database,FILESTAT!DL$3,bfy2009_)</f>
        <v>10</v>
      </c>
      <c r="DM26" s="111">
        <f>DSUM(_xlnm.Database,FILESTAT!DM$3,bfy2009_)</f>
        <v>43</v>
      </c>
      <c r="DN26" s="111">
        <f>DSUM(_xlnm.Database,FILESTAT!DN$3,bfy2009_)</f>
        <v>1</v>
      </c>
      <c r="DO26" s="111">
        <f>DSUM(_xlnm.Database,FILESTAT!DO$3,bfy2009_)</f>
        <v>34</v>
      </c>
      <c r="DP26" s="111">
        <f>DSUM(_xlnm.Database,FILESTAT!DP$3,bfy2009_)</f>
        <v>7</v>
      </c>
      <c r="DQ26" s="111">
        <f>DSUM(_xlnm.Database,FILESTAT!DQ$3,bfy2009_)</f>
        <v>0</v>
      </c>
      <c r="DS26" s="111">
        <f>DSUM(_xlnm.Database,FILESTAT!DS$3,bfy2009_)</f>
        <v>27</v>
      </c>
      <c r="DT26" s="111">
        <f>DSUM(_xlnm.Database,FILESTAT!DT$3,bfy2009_)</f>
        <v>0</v>
      </c>
      <c r="DU26" s="111">
        <f>DSUM(_xlnm.Database,FILESTAT!DU$3,bfy2009_)</f>
        <v>0</v>
      </c>
      <c r="DV26" s="127">
        <f t="shared" ref="DV26:DV31" si="11">SUM(BV26:DU26)</f>
        <v>1199</v>
      </c>
      <c r="DW26" s="128"/>
    </row>
    <row r="27" spans="1:130" s="111" customFormat="1">
      <c r="A27" s="119">
        <v>2010</v>
      </c>
      <c r="B27" s="189"/>
      <c r="C27" s="110">
        <f>DSUM(_xlnm.Database,FILESTAT!C$3,bfy2010_)</f>
        <v>61</v>
      </c>
      <c r="D27" s="111">
        <f>DSUM(_xlnm.Database,FILESTAT!D$3,bfy2010_)</f>
        <v>444</v>
      </c>
      <c r="E27" s="111">
        <f>DSUM(_xlnm.Database,FILESTAT!E$3,bfy2010_)</f>
        <v>31</v>
      </c>
      <c r="F27" s="111">
        <f>DSUM(_xlnm.Database,FILESTAT!F$3,bfy2010_)</f>
        <v>11</v>
      </c>
      <c r="G27" s="111">
        <f>DSUM(_xlnm.Database,FILESTAT!G$3,bfy2010_)</f>
        <v>18</v>
      </c>
      <c r="H27" s="111">
        <f>DSUM(_xlnm.Database,FILESTAT!H$3,bfy2010_)</f>
        <v>17</v>
      </c>
      <c r="I27" s="111">
        <f>DSUM(_xlnm.Database,FILESTAT!I$3,bfy2010_)</f>
        <v>0</v>
      </c>
      <c r="J27" s="111">
        <f>DSUM(_xlnm.Database,FILESTAT!J$3,bfy2010_)</f>
        <v>248</v>
      </c>
      <c r="K27" s="111">
        <f>DSUM(_xlnm.Database,FILESTAT!K$3,bfy2010_)</f>
        <v>13</v>
      </c>
      <c r="L27" s="111">
        <f>DSUM(_xlnm.Database,FILESTAT!L$3,bfy2010_)</f>
        <v>1</v>
      </c>
      <c r="M27" s="111">
        <f>DSUM(_xlnm.Database,FILESTAT!M$3,bfy2010_)</f>
        <v>1</v>
      </c>
      <c r="N27" s="111">
        <f>DSUM(_xlnm.Database,FILESTAT!N$3,bfy2010_)</f>
        <v>0</v>
      </c>
      <c r="O27" s="111">
        <f>DSUM(_xlnm.Database,FILESTAT!O$3,bfy2010_)</f>
        <v>134</v>
      </c>
      <c r="P27" s="111">
        <f>DSUM(_xlnm.Database,FILESTAT!P$3,bfy2010_)</f>
        <v>37</v>
      </c>
      <c r="Q27" s="111">
        <f>DSUM(_xlnm.Database,FILESTAT!Q$3,bfy2010_)</f>
        <v>1</v>
      </c>
      <c r="R27" s="112">
        <f>DSUM(_xlnm.Database,FILESTAT!R$3,bfy2010_)</f>
        <v>0</v>
      </c>
      <c r="S27" s="120">
        <f>IF(SUM(C27:R27)=FILESTAT!S681,SUM(C27:R27),"PROBLEM")</f>
        <v>1017</v>
      </c>
      <c r="T27" s="131">
        <f>DSUM(_xlnm.Database,FILESTAT!T$3,bfy2010_)</f>
        <v>0</v>
      </c>
      <c r="U27" s="111">
        <f>DSUM(_xlnm.Database,FILESTAT!U$3,bfy2010_)</f>
        <v>245</v>
      </c>
      <c r="V27" s="111">
        <f>DSUM(_xlnm.Database,FILESTAT!V$3,bfy2010_)</f>
        <v>206</v>
      </c>
      <c r="W27" s="111">
        <f>DSUM(_xlnm.Database,FILESTAT!W$3,bfy2010_)</f>
        <v>0</v>
      </c>
      <c r="X27" s="112">
        <f>DSUM(_xlnm.Database,FILESTAT!X$3,bfy2010_)</f>
        <v>4</v>
      </c>
      <c r="Z27" s="110">
        <f>DSUM(_xlnm.Database,FILESTAT!Z$3,bfy2010_)</f>
        <v>11348628</v>
      </c>
      <c r="AA27" s="111">
        <f>DSUM(_xlnm.Database,FILESTAT!AA$3,bfy2010_)</f>
        <v>0</v>
      </c>
      <c r="AC27" s="110">
        <f>DSUM(_xlnm.Database,FILESTAT!AC$3,bfy2010_)</f>
        <v>15200749</v>
      </c>
      <c r="AD27" s="111">
        <f>DSUM(_xlnm.Database,FILESTAT!AD$3,bfy2010_)</f>
        <v>0</v>
      </c>
      <c r="AE27" s="120">
        <f>SUM(AC27:AD27)</f>
        <v>15200749</v>
      </c>
      <c r="AG27" s="110">
        <f>DSUM(_xlnm.Database,FILESTAT!AG$3,bfy2010_)</f>
        <v>1878</v>
      </c>
      <c r="AH27" s="111">
        <f>DSUM(_xlnm.Database,FILESTAT!AH$3,bfy2010_)</f>
        <v>415</v>
      </c>
      <c r="AI27" s="111">
        <f>DSUM(_xlnm.Database,FILESTAT!AI$3,bfy2010_)</f>
        <v>2696</v>
      </c>
      <c r="AJ27" s="112">
        <f>DSUM(_xlnm.Database,FILESTAT!AJ$3,bfy2010_)</f>
        <v>0</v>
      </c>
      <c r="AL27" s="121">
        <f>DAVERAGE(_xlnm.Database,FILESTAT!AL$3,bfy2010_)</f>
        <v>0</v>
      </c>
      <c r="AM27" s="122">
        <f>DAVERAGE(_xlnm.Database,FILESTAT!AM$3,bfy2010_)</f>
        <v>38</v>
      </c>
      <c r="AN27" s="120">
        <f t="shared" si="9"/>
        <v>38</v>
      </c>
      <c r="AO27" s="122"/>
      <c r="AP27" s="122"/>
      <c r="AQ27" s="120">
        <f t="shared" si="10"/>
        <v>0</v>
      </c>
      <c r="AR27" s="122">
        <f>DAVERAGE(_xlnm.Database,FILESTAT!AR$3,bfy2010_)</f>
        <v>138.04166666666666</v>
      </c>
      <c r="AS27" s="122">
        <f>DAVERAGE(_xlnm.Database,FILESTAT!AS$3,bfy2010_)</f>
        <v>90.95</v>
      </c>
      <c r="AT27" s="122">
        <f>DAVERAGE(_xlnm.Database,FILESTAT!AT$3,bfy2010_)</f>
        <v>148.35</v>
      </c>
      <c r="AU27" s="122">
        <f>DAVERAGE(_xlnm.Database,FILESTAT!AU$3,bfy2010_)</f>
        <v>16.45</v>
      </c>
      <c r="AV27" s="123">
        <f>DAVERAGE(_xlnm.Database,FILESTAT!AV$3,bfy2010_)</f>
        <v>304.39999999999998</v>
      </c>
      <c r="AW27"/>
      <c r="AX27" s="356"/>
      <c r="AY27"/>
      <c r="BA27" s="121">
        <f>ROUND(DAVERAGE(_xlnm.Database,FILESTAT!BA$3,bfy2010_),0)</f>
        <v>1959</v>
      </c>
      <c r="BB27" s="122">
        <f>DAVERAGE(_xlnm.Database,FILESTAT!BB$3,bfy2010_)</f>
        <v>62491940.416666664</v>
      </c>
      <c r="BC27" s="122"/>
      <c r="BD27" s="122"/>
      <c r="BE27" s="111">
        <f>DSUM(_xlnm.Database,FILESTAT!BE$3,bfy2010_)</f>
        <v>782</v>
      </c>
      <c r="BF27" s="111">
        <f>DSUM(_xlnm.Database,FILESTAT!BF$3,bfy2010_)</f>
        <v>60</v>
      </c>
      <c r="BG27" s="111">
        <f>DSUM(_xlnm.Database,FILESTAT!BG$3,bfy2010_)</f>
        <v>29</v>
      </c>
      <c r="BI27" s="122">
        <f>DAVERAGE(_xlnm.Database,FILESTAT!BI$3,bfy2010_)</f>
        <v>3513974.9166666665</v>
      </c>
      <c r="BJ27" s="122"/>
      <c r="BK27" s="122"/>
      <c r="BL27" s="122">
        <f>DAVERAGE(_xlnm.Database,FILESTAT!BL$3,bfy2010_)</f>
        <v>50.166666666666664</v>
      </c>
      <c r="BM27" s="112">
        <f>DSUM(_xlnm.Database,FILESTAT!BM$3,bfy2010_)</f>
        <v>0</v>
      </c>
      <c r="BO27" s="121"/>
      <c r="BP27" s="123">
        <f>DAVERAGE(_xlnm.Database,FILESTAT!BP$3,bfy2010_)</f>
        <v>165.41666666666666</v>
      </c>
      <c r="BR27" s="236"/>
      <c r="BS27" s="126"/>
      <c r="BT27" s="237"/>
      <c r="BV27" s="110">
        <f>DSUM(_xlnm.Database,FILESTAT!BV$3,bfy2010_)</f>
        <v>57</v>
      </c>
      <c r="BW27" s="111">
        <f>DSUM(_xlnm.Database,FILESTAT!BW$3,bfy2010_)</f>
        <v>21</v>
      </c>
      <c r="BX27" s="111">
        <f>DSUM(_xlnm.Database,FILESTAT!BX$3,bfy2010_)</f>
        <v>27</v>
      </c>
      <c r="BY27" s="111">
        <f>DSUM(_xlnm.Database,FILESTAT!BY$3,bfy2010_)</f>
        <v>0</v>
      </c>
      <c r="BZ27" s="111">
        <f>DSUM(_xlnm.Database,FILESTAT!BZ$3,bfy2010_)</f>
        <v>0</v>
      </c>
      <c r="CA27" s="111">
        <f>DSUM(_xlnm.Database,FILESTAT!CA$3,bfy2010_)</f>
        <v>19</v>
      </c>
      <c r="CB27" s="111">
        <f>DSUM(_xlnm.Database,FILESTAT!CB$3,bfy2010_)</f>
        <v>2</v>
      </c>
      <c r="CC27" s="289">
        <f>DSUM(_xlnm.Database,FILESTAT!CC$3,bfy2010_)</f>
        <v>0</v>
      </c>
      <c r="CD27" s="111">
        <f>DSUM(_xlnm.Database,FILESTAT!CD$3,bfy2010_)</f>
        <v>128</v>
      </c>
      <c r="CE27" s="111">
        <f>DSUM(_xlnm.Database,FILESTAT!CE$3,bfy2010_)</f>
        <v>5</v>
      </c>
      <c r="CF27" s="289">
        <f>DSUM(_xlnm.Database,FILESTAT!CF$3,bfy2010_)</f>
        <v>0</v>
      </c>
      <c r="CG27" s="111">
        <f>DSUM(_xlnm.Database,FILESTAT!CG$3,bfy2010_)</f>
        <v>0</v>
      </c>
      <c r="CH27" s="111">
        <f>DSUM(_xlnm.Database,FILESTAT!CH$3,bfy2010_)</f>
        <v>0</v>
      </c>
      <c r="CI27" s="111">
        <f>DSUM(_xlnm.Database,FILESTAT!CI$3,bfy2010_)</f>
        <v>51</v>
      </c>
      <c r="CJ27" s="111">
        <f>DSUM(_xlnm.Database,FILESTAT!CJ$3,bfy2010_)</f>
        <v>93</v>
      </c>
      <c r="CK27" s="289">
        <f>DSUM(_xlnm.Database,FILESTAT!CK$3,bfy2010_)</f>
        <v>0</v>
      </c>
      <c r="CL27" s="111">
        <f>DSUM(_xlnm.Database,FILESTAT!CL$3,bfy2010_)</f>
        <v>0</v>
      </c>
      <c r="CM27" s="111">
        <f>DSUM(_xlnm.Database,FILESTAT!CM$3,bfy2010_)</f>
        <v>7</v>
      </c>
      <c r="CN27" s="111">
        <f>DSUM(_xlnm.Database,FILESTAT!CN$3,bfy2010_)</f>
        <v>5</v>
      </c>
      <c r="CO27" s="111">
        <f>DSUM(_xlnm.Database,FILESTAT!CO$3,bfy2010_)</f>
        <v>191</v>
      </c>
      <c r="CP27" s="289">
        <f>DSUM(_xlnm.Database,FILESTAT!CP$3,bfy2010_)</f>
        <v>0</v>
      </c>
      <c r="CQ27" s="111">
        <f>DSUM(_xlnm.Database,FILESTAT!CQ$3,bfy2010_)</f>
        <v>0</v>
      </c>
      <c r="CR27" s="111">
        <f>DSUM(_xlnm.Database,FILESTAT!CR$3,bfy2010_)</f>
        <v>0</v>
      </c>
      <c r="CS27" s="111">
        <f>DSUM(_xlnm.Database,FILESTAT!CS$3,bfy2010_)</f>
        <v>19</v>
      </c>
      <c r="CT27" s="111">
        <f>DSUM(_xlnm.Database,FILESTAT!CT$3,bfy2010_)</f>
        <v>53</v>
      </c>
      <c r="CU27" s="289">
        <f>DSUM(_xlnm.Database,FILESTAT!CU$3,bfy2010_)</f>
        <v>0</v>
      </c>
      <c r="CV27" s="111">
        <f>DSUM(_xlnm.Database,FILESTAT!CV$3,bfy2010_)</f>
        <v>64</v>
      </c>
      <c r="CW27" s="111">
        <f>DSUM(_xlnm.Database,FILESTAT!CW$3,bfy2010_)</f>
        <v>4</v>
      </c>
      <c r="CX27" s="111">
        <f>DSUM(_xlnm.Database,FILESTAT!CX$3,bfy2010_)</f>
        <v>5</v>
      </c>
      <c r="CY27" s="111">
        <f>DSUM(_xlnm.Database,FILESTAT!CY$3,bfy2010_)</f>
        <v>21</v>
      </c>
      <c r="CZ27" s="111">
        <f>DSUM(_xlnm.Database,FILESTAT!CZ$3,bfy2010_)</f>
        <v>0</v>
      </c>
      <c r="DA27" s="111">
        <f>DSUM(_xlnm.Database,FILESTAT!DA$3,bfy2010_)</f>
        <v>4</v>
      </c>
      <c r="DB27" s="111">
        <f>DSUM(_xlnm.Database,FILESTAT!DB$3,bfy2010_)</f>
        <v>67</v>
      </c>
      <c r="DC27" s="111">
        <f>DSUM(_xlnm.Database,FILESTAT!DC$3,bfy2010_)</f>
        <v>1</v>
      </c>
      <c r="DD27" s="111">
        <f>DSUM(_xlnm.Database,FILESTAT!DD$3,bfy2010_)</f>
        <v>0</v>
      </c>
      <c r="DE27" s="111">
        <f>DSUM(_xlnm.Database,FILESTAT!DE$3,bfy2010_)</f>
        <v>1</v>
      </c>
      <c r="DF27" s="111">
        <f>DSUM(_xlnm.Database,FILESTAT!DF$3,bfy2010_)</f>
        <v>0</v>
      </c>
      <c r="DG27" s="111">
        <f>DSUM(_xlnm.Database,FILESTAT!DG$3,bfy2010_)</f>
        <v>32</v>
      </c>
      <c r="DH27" s="111">
        <f>DSUM(_xlnm.Database,FILESTAT!DH$3,bfy2010_)</f>
        <v>9</v>
      </c>
      <c r="DI27" s="111">
        <f>DSUM(_xlnm.Database,FILESTAT!DI$3,bfy2010_)</f>
        <v>7</v>
      </c>
      <c r="DJ27" s="111">
        <f>DSUM(_xlnm.Database,FILESTAT!DJ$3,bfy2010_)</f>
        <v>12</v>
      </c>
      <c r="DK27" s="111">
        <f>DSUM(_xlnm.Database,FILESTAT!DK$3,bfy2010_)</f>
        <v>0</v>
      </c>
      <c r="DL27" s="111">
        <f>DSUM(_xlnm.Database,FILESTAT!DL$3,bfy2010_)</f>
        <v>2</v>
      </c>
      <c r="DM27" s="111">
        <f>DSUM(_xlnm.Database,FILESTAT!DM$3,bfy2010_)</f>
        <v>49</v>
      </c>
      <c r="DN27" s="111">
        <f>DSUM(_xlnm.Database,FILESTAT!DN$3,bfy2010_)</f>
        <v>7</v>
      </c>
      <c r="DO27" s="111">
        <f>DSUM(_xlnm.Database,FILESTAT!DO$3,bfy2010_)</f>
        <v>24</v>
      </c>
      <c r="DP27" s="111">
        <f>DSUM(_xlnm.Database,FILESTAT!DP$3,bfy2010_)</f>
        <v>2</v>
      </c>
      <c r="DQ27" s="111">
        <f>DSUM(_xlnm.Database,FILESTAT!DQ$3,bfy2010_)</f>
        <v>0</v>
      </c>
      <c r="DS27" s="111">
        <f>DSUM(_xlnm.Database,FILESTAT!DS$3,bfy2010_)</f>
        <v>28</v>
      </c>
      <c r="DT27" s="111">
        <f>DSUM(_xlnm.Database,FILESTAT!DT$3,bfy2010_)</f>
        <v>0</v>
      </c>
      <c r="DU27" s="111">
        <f>DSUM(_xlnm.Database,FILESTAT!DU$3,bfy2010_)</f>
        <v>0</v>
      </c>
      <c r="DV27" s="127">
        <f t="shared" si="11"/>
        <v>1017</v>
      </c>
      <c r="DW27" s="128"/>
    </row>
    <row r="28" spans="1:130" s="111" customFormat="1">
      <c r="A28" s="119">
        <v>2011</v>
      </c>
      <c r="B28" s="189"/>
      <c r="C28" s="110">
        <f>DSUM(_xlnm.Database,FILESTAT!C$3,bfy2011_)</f>
        <v>53</v>
      </c>
      <c r="D28" s="111">
        <f>DSUM(_xlnm.Database,FILESTAT!D$3,bfy2011_)</f>
        <v>463</v>
      </c>
      <c r="E28" s="111">
        <f>DSUM(_xlnm.Database,FILESTAT!E$3,bfy2011_)</f>
        <v>39</v>
      </c>
      <c r="F28" s="111">
        <f>DSUM(_xlnm.Database,FILESTAT!F$3,bfy2011_)</f>
        <v>12</v>
      </c>
      <c r="G28" s="111">
        <f>DSUM(_xlnm.Database,FILESTAT!G$3,bfy2011_)</f>
        <v>8</v>
      </c>
      <c r="H28" s="111">
        <f>DSUM(_xlnm.Database,FILESTAT!H$3,bfy2011_)</f>
        <v>17</v>
      </c>
      <c r="I28" s="111">
        <f>DSUM(_xlnm.Database,FILESTAT!I$3,bfy2011_)</f>
        <v>1</v>
      </c>
      <c r="J28" s="111">
        <f>DSUM(_xlnm.Database,FILESTAT!J$3,bfy2011_)</f>
        <v>267</v>
      </c>
      <c r="K28" s="111">
        <f>DSUM(_xlnm.Database,FILESTAT!K$3,bfy2011_)</f>
        <v>0</v>
      </c>
      <c r="L28" s="111">
        <f>DSUM(_xlnm.Database,FILESTAT!L$3,bfy2011_)</f>
        <v>4</v>
      </c>
      <c r="M28" s="111">
        <f>DSUM(_xlnm.Database,FILESTAT!M$3,bfy2011_)</f>
        <v>2</v>
      </c>
      <c r="N28" s="111">
        <f>DSUM(_xlnm.Database,FILESTAT!N$3,bfy2011_)</f>
        <v>0</v>
      </c>
      <c r="O28" s="111">
        <f>DSUM(_xlnm.Database,FILESTAT!O$3,bfy2011_)</f>
        <v>321</v>
      </c>
      <c r="P28" s="111">
        <f>DSUM(_xlnm.Database,FILESTAT!P$3,bfy2011_)</f>
        <v>26</v>
      </c>
      <c r="Q28" s="111">
        <f>DSUM(_xlnm.Database,FILESTAT!Q$3,bfy2011_)</f>
        <v>1</v>
      </c>
      <c r="R28" s="112">
        <f>DSUM(_xlnm.Database,FILESTAT!R$3,bfy2011_)</f>
        <v>0</v>
      </c>
      <c r="S28" s="120">
        <f>IF(SUM(C28:R28)=FILESTAT!S712,SUM(C28:R28),"PROBLEM")</f>
        <v>1214</v>
      </c>
      <c r="T28" s="131">
        <f>DSUM(_xlnm.Database,FILESTAT!T$3,bfy2011_)</f>
        <v>0</v>
      </c>
      <c r="U28" s="111">
        <f>DSUM(_xlnm.Database,FILESTAT!U$3,bfy2011_)</f>
        <v>354</v>
      </c>
      <c r="V28" s="111">
        <f>DSUM(_xlnm.Database,FILESTAT!V$3,bfy2011_)</f>
        <v>292</v>
      </c>
      <c r="W28" s="111">
        <f>DSUM(_xlnm.Database,FILESTAT!W$3,bfy2011_)</f>
        <v>0</v>
      </c>
      <c r="X28" s="112">
        <f>DSUM(_xlnm.Database,FILESTAT!X$3,bfy2011_)</f>
        <v>4</v>
      </c>
      <c r="Z28" s="110">
        <f>DSUM(_xlnm.Database,FILESTAT!Z$3,bfy2011_)</f>
        <v>8738088</v>
      </c>
      <c r="AA28" s="111">
        <f>DSUM(_xlnm.Database,FILESTAT!AA$3,bfy2011_)</f>
        <v>0</v>
      </c>
      <c r="AC28" s="110">
        <f>DSUM(_xlnm.Database,FILESTAT!AC$3,bfy2011_)</f>
        <v>29147228</v>
      </c>
      <c r="AD28" s="111">
        <f>DSUM(_xlnm.Database,FILESTAT!AD$3,bfy2011_)</f>
        <v>0</v>
      </c>
      <c r="AE28" s="120">
        <f>SUM(AC28:AD28)</f>
        <v>29147228</v>
      </c>
      <c r="AG28" s="110">
        <f>DSUM(_xlnm.Database,FILESTAT!AG$3,bfy2011_)</f>
        <v>1993</v>
      </c>
      <c r="AH28" s="111">
        <f>DSUM(_xlnm.Database,FILESTAT!AH$3,bfy2011_)</f>
        <v>1228</v>
      </c>
      <c r="AI28" s="111">
        <f>DSUM(_xlnm.Database,FILESTAT!AI$3,bfy2011_)</f>
        <v>3580</v>
      </c>
      <c r="AJ28" s="112">
        <f>DSUM(_xlnm.Database,FILESTAT!AJ$3,bfy2011_)</f>
        <v>0</v>
      </c>
      <c r="AL28" s="121">
        <f>DAVERAGE(_xlnm.Database,FILESTAT!AL$3,bfy2011_)</f>
        <v>0</v>
      </c>
      <c r="AM28" s="122">
        <f>DAVERAGE(_xlnm.Database,FILESTAT!AM$3,bfy2011_)</f>
        <v>36.5</v>
      </c>
      <c r="AN28" s="120">
        <f t="shared" si="9"/>
        <v>37</v>
      </c>
      <c r="AO28" s="122"/>
      <c r="AP28" s="122"/>
      <c r="AQ28" s="120">
        <f t="shared" si="10"/>
        <v>0</v>
      </c>
      <c r="AR28" s="122">
        <f>DAVERAGE(_xlnm.Database,FILESTAT!AR$3,bfy2011_)</f>
        <v>147</v>
      </c>
      <c r="AS28" s="122">
        <f>DAVERAGE(_xlnm.Database,FILESTAT!AS$3,bfy2011_)</f>
        <v>97.9375</v>
      </c>
      <c r="AT28" s="122">
        <f>DAVERAGE(_xlnm.Database,FILESTAT!AT$3,bfy2011_)</f>
        <v>165</v>
      </c>
      <c r="AU28" s="122">
        <f>DAVERAGE(_xlnm.Database,FILESTAT!AU$3,bfy2011_)</f>
        <v>18.125</v>
      </c>
      <c r="AV28" s="123">
        <f>DAVERAGE(_xlnm.Database,FILESTAT!AV$3,bfy2011_)</f>
        <v>329.5625</v>
      </c>
      <c r="AW28"/>
      <c r="AX28" s="356"/>
      <c r="AY28"/>
      <c r="BA28" s="121">
        <f>ROUND(DAVERAGE(_xlnm.Database,FILESTAT!BA$3,bfy2011_),0)</f>
        <v>1974</v>
      </c>
      <c r="BB28" s="122">
        <f>DAVERAGE(_xlnm.Database,FILESTAT!BB$3,bfy2011_)</f>
        <v>65815261.416666664</v>
      </c>
      <c r="BC28" s="122"/>
      <c r="BD28" s="122"/>
      <c r="BE28" s="111">
        <f>DSUM(_xlnm.Database,FILESTAT!BE$3,bfy2011_)</f>
        <v>939</v>
      </c>
      <c r="BF28" s="111">
        <f>DSUM(_xlnm.Database,FILESTAT!BF$3,bfy2011_)</f>
        <v>45</v>
      </c>
      <c r="BG28" s="111">
        <f>DSUM(_xlnm.Database,FILESTAT!BG$3,bfy2011_)</f>
        <v>34</v>
      </c>
      <c r="BI28" s="122">
        <f>DAVERAGE(_xlnm.Database,FILESTAT!BI$3,bfy2011_)</f>
        <v>4014256.9166666665</v>
      </c>
      <c r="BJ28" s="122"/>
      <c r="BK28" s="122"/>
      <c r="BL28" s="122">
        <f>DAVERAGE(_xlnm.Database,FILESTAT!BL$3,bfy2011_)</f>
        <v>1.75</v>
      </c>
      <c r="BM28" s="112">
        <f>DSUM(_xlnm.Database,FILESTAT!BM$3,bfy2011_)</f>
        <v>0</v>
      </c>
      <c r="BO28" s="121"/>
      <c r="BP28" s="123">
        <f>DAVERAGE(_xlnm.Database,FILESTAT!BP$3,bfy2011_)</f>
        <v>166.08333333333334</v>
      </c>
      <c r="BR28" s="236"/>
      <c r="BS28" s="126"/>
      <c r="BT28" s="237"/>
      <c r="BV28" s="110">
        <f>DSUM(_xlnm.Database,FILESTAT!BV$3,bfy2011_)</f>
        <v>31</v>
      </c>
      <c r="BW28" s="111">
        <f>DSUM(_xlnm.Database,FILESTAT!BW$3,bfy2011_)</f>
        <v>43</v>
      </c>
      <c r="BX28" s="111">
        <f>DSUM(_xlnm.Database,FILESTAT!BX$3,bfy2011_)</f>
        <v>21</v>
      </c>
      <c r="BY28" s="111">
        <f>DSUM(_xlnm.Database,FILESTAT!BY$3,bfy2011_)</f>
        <v>0</v>
      </c>
      <c r="BZ28" s="111">
        <f>DSUM(_xlnm.Database,FILESTAT!BZ$3,bfy2011_)</f>
        <v>0</v>
      </c>
      <c r="CA28" s="111">
        <f>DSUM(_xlnm.Database,FILESTAT!CA$3,bfy2011_)</f>
        <v>9</v>
      </c>
      <c r="CB28" s="111">
        <f>DSUM(_xlnm.Database,FILESTAT!CB$3,bfy2011_)</f>
        <v>1</v>
      </c>
      <c r="CC28" s="289">
        <f>DSUM(_xlnm.Database,FILESTAT!CC$3,bfy2011_)</f>
        <v>0</v>
      </c>
      <c r="CD28" s="111">
        <f>DSUM(_xlnm.Database,FILESTAT!CD$3,bfy2011_)</f>
        <v>119</v>
      </c>
      <c r="CE28" s="111">
        <f>DSUM(_xlnm.Database,FILESTAT!CE$3,bfy2011_)</f>
        <v>11</v>
      </c>
      <c r="CF28" s="289">
        <f>DSUM(_xlnm.Database,FILESTAT!CF$3,bfy2011_)</f>
        <v>0</v>
      </c>
      <c r="CG28" s="111">
        <f>DSUM(_xlnm.Database,FILESTAT!CG$3,bfy2011_)</f>
        <v>39</v>
      </c>
      <c r="CH28" s="111">
        <f>DSUM(_xlnm.Database,FILESTAT!CH$3,bfy2011_)</f>
        <v>0</v>
      </c>
      <c r="CI28" s="111">
        <f>DSUM(_xlnm.Database,FILESTAT!CI$3,bfy2011_)</f>
        <v>90</v>
      </c>
      <c r="CJ28" s="111">
        <f>DSUM(_xlnm.Database,FILESTAT!CJ$3,bfy2011_)</f>
        <v>82</v>
      </c>
      <c r="CK28" s="289">
        <f>DSUM(_xlnm.Database,FILESTAT!CK$3,bfy2011_)</f>
        <v>0</v>
      </c>
      <c r="CL28" s="111">
        <f>DSUM(_xlnm.Database,FILESTAT!CL$3,bfy2011_)</f>
        <v>9</v>
      </c>
      <c r="CM28" s="111">
        <f>DSUM(_xlnm.Database,FILESTAT!CM$3,bfy2011_)</f>
        <v>3</v>
      </c>
      <c r="CN28" s="111">
        <f>DSUM(_xlnm.Database,FILESTAT!CN$3,bfy2011_)</f>
        <v>20</v>
      </c>
      <c r="CO28" s="111">
        <f>DSUM(_xlnm.Database,FILESTAT!CO$3,bfy2011_)</f>
        <v>191</v>
      </c>
      <c r="CP28" s="289">
        <f>DSUM(_xlnm.Database,FILESTAT!CP$3,bfy2011_)</f>
        <v>0</v>
      </c>
      <c r="CQ28" s="111">
        <f>DSUM(_xlnm.Database,FILESTAT!CQ$3,bfy2011_)</f>
        <v>1</v>
      </c>
      <c r="CR28" s="111">
        <f>DSUM(_xlnm.Database,FILESTAT!CR$3,bfy2011_)</f>
        <v>0</v>
      </c>
      <c r="CS28" s="111">
        <f>DSUM(_xlnm.Database,FILESTAT!CS$3,bfy2011_)</f>
        <v>21</v>
      </c>
      <c r="CT28" s="111">
        <f>DSUM(_xlnm.Database,FILESTAT!CT$3,bfy2011_)</f>
        <v>48</v>
      </c>
      <c r="CU28" s="289">
        <f>DSUM(_xlnm.Database,FILESTAT!CU$3,bfy2011_)</f>
        <v>0</v>
      </c>
      <c r="CV28" s="111">
        <f>DSUM(_xlnm.Database,FILESTAT!CV$3,bfy2011_)</f>
        <v>54</v>
      </c>
      <c r="CW28" s="111">
        <f>DSUM(_xlnm.Database,FILESTAT!CW$3,bfy2011_)</f>
        <v>2</v>
      </c>
      <c r="CX28" s="111">
        <f>DSUM(_xlnm.Database,FILESTAT!CX$3,bfy2011_)</f>
        <v>2</v>
      </c>
      <c r="CY28" s="111">
        <f>DSUM(_xlnm.Database,FILESTAT!CY$3,bfy2011_)</f>
        <v>18</v>
      </c>
      <c r="CZ28" s="111">
        <f>DSUM(_xlnm.Database,FILESTAT!CZ$3,bfy2011_)</f>
        <v>4</v>
      </c>
      <c r="DA28" s="111">
        <f>DSUM(_xlnm.Database,FILESTAT!DA$3,bfy2011_)</f>
        <v>9</v>
      </c>
      <c r="DB28" s="111">
        <f>DSUM(_xlnm.Database,FILESTAT!DB$3,bfy2011_)</f>
        <v>160</v>
      </c>
      <c r="DC28" s="111">
        <f>DSUM(_xlnm.Database,FILESTAT!DC$3,bfy2011_)</f>
        <v>3</v>
      </c>
      <c r="DD28" s="111">
        <f>DSUM(_xlnm.Database,FILESTAT!DD$3,bfy2011_)</f>
        <v>0</v>
      </c>
      <c r="DE28" s="111">
        <f>DSUM(_xlnm.Database,FILESTAT!DE$3,bfy2011_)</f>
        <v>0</v>
      </c>
      <c r="DF28" s="111">
        <f>DSUM(_xlnm.Database,FILESTAT!DF$3,bfy2011_)</f>
        <v>0</v>
      </c>
      <c r="DG28" s="111">
        <f>DSUM(_xlnm.Database,FILESTAT!DG$3,bfy2011_)</f>
        <v>60</v>
      </c>
      <c r="DH28" s="111">
        <f>DSUM(_xlnm.Database,FILESTAT!DH$3,bfy2011_)</f>
        <v>8</v>
      </c>
      <c r="DI28" s="111">
        <f>DSUM(_xlnm.Database,FILESTAT!DI$3,bfy2011_)</f>
        <v>8</v>
      </c>
      <c r="DJ28" s="111">
        <f>DSUM(_xlnm.Database,FILESTAT!DJ$3,bfy2011_)</f>
        <v>14</v>
      </c>
      <c r="DK28" s="111">
        <f>DSUM(_xlnm.Database,FILESTAT!DK$3,bfy2011_)</f>
        <v>0</v>
      </c>
      <c r="DL28" s="111">
        <f>DSUM(_xlnm.Database,FILESTAT!DL$3,bfy2011_)</f>
        <v>0</v>
      </c>
      <c r="DM28" s="111">
        <f>DSUM(_xlnm.Database,FILESTAT!DM$3,bfy2011_)</f>
        <v>56</v>
      </c>
      <c r="DN28" s="111">
        <f>DSUM(_xlnm.Database,FILESTAT!DN$3,bfy2011_)</f>
        <v>15</v>
      </c>
      <c r="DO28" s="111">
        <f>DSUM(_xlnm.Database,FILESTAT!DO$3,bfy2011_)</f>
        <v>24</v>
      </c>
      <c r="DP28" s="111">
        <f>DSUM(_xlnm.Database,FILESTAT!DP$3,bfy2011_)</f>
        <v>3</v>
      </c>
      <c r="DQ28" s="111">
        <f>DSUM(_xlnm.Database,FILESTAT!DQ$3,bfy2011_)</f>
        <v>0</v>
      </c>
      <c r="DS28" s="111">
        <f>DSUM(_xlnm.Database,FILESTAT!DS$3,bfy2011_)</f>
        <v>35</v>
      </c>
      <c r="DT28" s="111">
        <f>DSUM(_xlnm.Database,FILESTAT!DT$3,bfy2011_)</f>
        <v>0</v>
      </c>
      <c r="DU28" s="111">
        <f>DSUM(_xlnm.Database,FILESTAT!DU$3,bfy2011_)</f>
        <v>0</v>
      </c>
      <c r="DV28" s="127">
        <f t="shared" si="11"/>
        <v>1214</v>
      </c>
      <c r="DW28" s="128"/>
    </row>
    <row r="29" spans="1:130" s="111" customFormat="1">
      <c r="A29" s="288">
        <v>2012</v>
      </c>
      <c r="B29" s="189"/>
      <c r="C29" s="110">
        <f>DSUM(_xlnm.Database,FILESTAT!C$3,bfy2012_)</f>
        <v>83</v>
      </c>
      <c r="D29" s="111">
        <f>DSUM(_xlnm.Database,FILESTAT!D$3,bfy2012_)</f>
        <v>548</v>
      </c>
      <c r="E29" s="111">
        <f>DSUM(_xlnm.Database,FILESTAT!E$3,bfy2012_)</f>
        <v>45</v>
      </c>
      <c r="F29" s="111">
        <f>DSUM(_xlnm.Database,FILESTAT!F$3,bfy2012_)</f>
        <v>15</v>
      </c>
      <c r="G29" s="111">
        <f>DSUM(_xlnm.Database,FILESTAT!G$3,bfy2012_)</f>
        <v>15</v>
      </c>
      <c r="H29" s="111">
        <f>DSUM(_xlnm.Database,FILESTAT!H$3,bfy2012_)</f>
        <v>21</v>
      </c>
      <c r="I29" s="111">
        <f>DSUM(_xlnm.Database,FILESTAT!I$3,bfy2012_)</f>
        <v>0</v>
      </c>
      <c r="J29" s="111">
        <f>DSUM(_xlnm.Database,FILESTAT!J$3,bfy2012_)</f>
        <v>518</v>
      </c>
      <c r="K29" s="111">
        <f>DSUM(_xlnm.Database,FILESTAT!K$3,bfy2012_)</f>
        <v>29</v>
      </c>
      <c r="L29" s="111">
        <f>DSUM(_xlnm.Database,FILESTAT!L$3,bfy2012_)</f>
        <v>12</v>
      </c>
      <c r="M29" s="111">
        <f>DSUM(_xlnm.Database,FILESTAT!M$3,bfy2012_)</f>
        <v>0</v>
      </c>
      <c r="N29" s="111">
        <f>DSUM(_xlnm.Database,FILESTAT!N$3,bfy2012_)</f>
        <v>0</v>
      </c>
      <c r="O29" s="111">
        <f>DSUM(_xlnm.Database,FILESTAT!O$3,bfy2012_)</f>
        <v>110</v>
      </c>
      <c r="P29" s="111">
        <f>DSUM(_xlnm.Database,FILESTAT!P$3,bfy2012_)</f>
        <v>24</v>
      </c>
      <c r="Q29" s="111">
        <f>DSUM(_xlnm.Database,FILESTAT!Q$3,bfy2012_)</f>
        <v>3</v>
      </c>
      <c r="R29" s="112">
        <f>DSUM(_xlnm.Database,FILESTAT!R$3,bfy2012_)</f>
        <v>0</v>
      </c>
      <c r="S29" s="120">
        <f>IF(SUM(C29:R29)=FILESTAT!S743,SUM(C29:R29),"PROBLEM")</f>
        <v>1423</v>
      </c>
      <c r="T29" s="131">
        <f>DSUM(_xlnm.Database,FILESTAT!T$3,bfy2012_)</f>
        <v>0</v>
      </c>
      <c r="U29" s="111">
        <f>DSUM(_xlnm.Database,FILESTAT!U$3,bfy2012_)</f>
        <v>284</v>
      </c>
      <c r="V29" s="111">
        <f>DSUM(_xlnm.Database,FILESTAT!V$3,bfy2012_)</f>
        <v>244</v>
      </c>
      <c r="W29" s="111">
        <f>DSUM(_xlnm.Database,FILESTAT!W$3,bfy2012_)</f>
        <v>0</v>
      </c>
      <c r="X29" s="112">
        <f>DSUM(_xlnm.Database,FILESTAT!X$3,bfy2012_)</f>
        <v>4</v>
      </c>
      <c r="Z29" s="110">
        <f>DSUM(_xlnm.Database,FILESTAT!Z$3,bfy2012_)</f>
        <v>9375013</v>
      </c>
      <c r="AA29" s="111">
        <f>DSUM(_xlnm.Database,FILESTAT!AA$3,bfy2012_)</f>
        <v>0</v>
      </c>
      <c r="AC29" s="110">
        <f>DSUM(_xlnm.Database,FILESTAT!AC$3,bfy2012_)</f>
        <v>42818874</v>
      </c>
      <c r="AD29" s="111">
        <f>DSUM(_xlnm.Database,FILESTAT!AD$3,bfy2012_)</f>
        <v>0</v>
      </c>
      <c r="AE29" s="120">
        <f>SUM(AC29:AD29)</f>
        <v>42818874</v>
      </c>
      <c r="AG29" s="110">
        <f>DSUM(_xlnm.Database,FILESTAT!AG$3,bfy2012_)</f>
        <v>2354</v>
      </c>
      <c r="AH29" s="111">
        <f>DSUM(_xlnm.Database,FILESTAT!AH$3,bfy2012_)</f>
        <v>1282</v>
      </c>
      <c r="AI29" s="111">
        <f>DSUM(_xlnm.Database,FILESTAT!AI$3,bfy2012_)</f>
        <v>4036</v>
      </c>
      <c r="AJ29" s="112">
        <f>DSUM(_xlnm.Database,FILESTAT!AJ$3,bfy2012_)</f>
        <v>0</v>
      </c>
      <c r="AL29" s="121">
        <f>DAVERAGE(_xlnm.Database,FILESTAT!AL$3,bfy2012_)</f>
        <v>0</v>
      </c>
      <c r="AM29" s="122">
        <f>DAVERAGE(_xlnm.Database,FILESTAT!AM$3,bfy2012_)</f>
        <v>36</v>
      </c>
      <c r="AN29" s="120">
        <f t="shared" si="9"/>
        <v>36</v>
      </c>
      <c r="AO29" s="122"/>
      <c r="AP29" s="122"/>
      <c r="AQ29" s="120">
        <f t="shared" si="10"/>
        <v>0</v>
      </c>
      <c r="AR29" s="122">
        <f>DAVERAGE(_xlnm.Database,FILESTAT!AR$3,bfy2012_)</f>
        <v>153.75</v>
      </c>
      <c r="AS29" s="122">
        <f>DAVERAGE(_xlnm.Database,FILESTAT!AS$3,bfy2012_)</f>
        <v>107.46666666666667</v>
      </c>
      <c r="AT29" s="122">
        <f>DAVERAGE(_xlnm.Database,FILESTAT!AT$3,bfy2012_)</f>
        <v>182.4</v>
      </c>
      <c r="AU29" s="122">
        <f>DAVERAGE(_xlnm.Database,FILESTAT!AU$3,bfy2012_)</f>
        <v>21.2</v>
      </c>
      <c r="AV29" s="123">
        <f>DAVERAGE(_xlnm.Database,FILESTAT!AV$3,bfy2012_)</f>
        <v>358.46666666666664</v>
      </c>
      <c r="AW29"/>
      <c r="AX29" s="356"/>
      <c r="AY29"/>
      <c r="BA29" s="121">
        <f>ROUND(DAVERAGE(_xlnm.Database,FILESTAT!BA$3,bfy2012_),0)</f>
        <v>1979</v>
      </c>
      <c r="BB29" s="122">
        <f>DAVERAGE(_xlnm.Database,FILESTAT!BB$3,bfy2012_)</f>
        <v>70918196.166666672</v>
      </c>
      <c r="BC29" s="122"/>
      <c r="BD29" s="122"/>
      <c r="BE29" s="111">
        <f>DSUM(_xlnm.Database,FILESTAT!BE$3,bfy2012_)</f>
        <v>1093</v>
      </c>
      <c r="BF29" s="111">
        <f>DSUM(_xlnm.Database,FILESTAT!BF$3,bfy2012_)</f>
        <v>69</v>
      </c>
      <c r="BG29" s="111">
        <f>DSUM(_xlnm.Database,FILESTAT!BG$3,bfy2012_)</f>
        <v>56</v>
      </c>
      <c r="BI29" s="122">
        <f>DAVERAGE(_xlnm.Database,FILESTAT!BI$3,bfy2012_)</f>
        <v>4666286.333333333</v>
      </c>
      <c r="BJ29" s="122"/>
      <c r="BK29" s="122"/>
      <c r="BL29" s="122">
        <f>DAVERAGE(_xlnm.Database,FILESTAT!BL$3,bfy2012_)</f>
        <v>3.6666666666666665</v>
      </c>
      <c r="BM29" s="112">
        <f>DSUM(_xlnm.Database,FILESTAT!BM$3,bfy2012_)</f>
        <v>0</v>
      </c>
      <c r="BO29" s="121"/>
      <c r="BP29" s="123">
        <f>DAVERAGE(_xlnm.Database,FILESTAT!BP$3,bfy2012_)</f>
        <v>166.75</v>
      </c>
      <c r="BR29" s="236"/>
      <c r="BS29" s="126"/>
      <c r="BT29" s="237"/>
      <c r="BV29" s="110">
        <f>DSUM(_xlnm.Database,FILESTAT!BV$3,bfy2012_)</f>
        <v>34</v>
      </c>
      <c r="BW29" s="111">
        <f>DSUM(_xlnm.Database,FILESTAT!BW$3,bfy2012_)</f>
        <v>36</v>
      </c>
      <c r="BX29" s="111">
        <f>DSUM(_xlnm.Database,FILESTAT!BX$3,bfy2012_)</f>
        <v>60</v>
      </c>
      <c r="BY29" s="111">
        <f>DSUM(_xlnm.Database,FILESTAT!BY$3,bfy2012_)</f>
        <v>4</v>
      </c>
      <c r="BZ29" s="111">
        <f>DSUM(_xlnm.Database,FILESTAT!BZ$3,bfy2012_)</f>
        <v>0</v>
      </c>
      <c r="CA29" s="111">
        <f>DSUM(_xlnm.Database,FILESTAT!CA$3,bfy2012_)</f>
        <v>8</v>
      </c>
      <c r="CB29" s="289">
        <f>DSUM(_xlnm.Database,FILESTAT!CB$3,bfy2012_)</f>
        <v>0</v>
      </c>
      <c r="CC29" s="111">
        <f>DSUM(_xlnm.Database,FILESTAT!CC$3,bfy2012_)</f>
        <v>3</v>
      </c>
      <c r="CD29" s="111">
        <f>DSUM(_xlnm.Database,FILESTAT!CD$3,bfy2012_)</f>
        <v>115</v>
      </c>
      <c r="CE29" s="111">
        <f>DSUM(_xlnm.Database,FILESTAT!CE$3,bfy2012_)</f>
        <v>49</v>
      </c>
      <c r="CF29" s="289">
        <f>DSUM(_xlnm.Database,FILESTAT!CF$3,bfy2012_)</f>
        <v>0</v>
      </c>
      <c r="CG29" s="111">
        <f>DSUM(_xlnm.Database,FILESTAT!CG$3,bfy2012_)</f>
        <v>42</v>
      </c>
      <c r="CH29" s="111">
        <f>DSUM(_xlnm.Database,FILESTAT!CH$3,bfy2012_)</f>
        <v>2</v>
      </c>
      <c r="CI29" s="111">
        <f>DSUM(_xlnm.Database,FILESTAT!CI$3,bfy2012_)</f>
        <v>120</v>
      </c>
      <c r="CJ29" s="111">
        <f>DSUM(_xlnm.Database,FILESTAT!CJ$3,bfy2012_)</f>
        <v>127</v>
      </c>
      <c r="CK29" s="111">
        <f>DSUM(_xlnm.Database,FILESTAT!CK$3,bfy2012_)</f>
        <v>1</v>
      </c>
      <c r="CL29" s="111">
        <f>DSUM(_xlnm.Database,FILESTAT!CL$3,bfy2012_)</f>
        <v>0</v>
      </c>
      <c r="CM29" s="111">
        <f>DSUM(_xlnm.Database,FILESTAT!CM$3,bfy2012_)</f>
        <v>7</v>
      </c>
      <c r="CN29" s="111">
        <f>DSUM(_xlnm.Database,FILESTAT!CN$3,bfy2012_)</f>
        <v>12</v>
      </c>
      <c r="CO29" s="111">
        <f>DSUM(_xlnm.Database,FILESTAT!CO$3,bfy2012_)</f>
        <v>179</v>
      </c>
      <c r="CP29" s="111">
        <f>DSUM(_xlnm.Database,FILESTAT!CP$3,bfy2012_)</f>
        <v>0</v>
      </c>
      <c r="CQ29" s="111">
        <f>DSUM(_xlnm.Database,FILESTAT!CQ$3,bfy2012_)</f>
        <v>1</v>
      </c>
      <c r="CR29" s="111">
        <f>DSUM(_xlnm.Database,FILESTAT!CR$3,bfy2012_)</f>
        <v>0</v>
      </c>
      <c r="CS29" s="111">
        <f>DSUM(_xlnm.Database,FILESTAT!CS$3,bfy2012_)</f>
        <v>31</v>
      </c>
      <c r="CT29" s="111">
        <f>DSUM(_xlnm.Database,FILESTAT!CT$3,bfy2012_)</f>
        <v>53</v>
      </c>
      <c r="CU29" s="289">
        <f>DSUM(_xlnm.Database,FILESTAT!CU$3,bfy2012_)</f>
        <v>0</v>
      </c>
      <c r="CV29" s="111">
        <f>DSUM(_xlnm.Database,FILESTAT!CV$3,bfy2012_)</f>
        <v>66</v>
      </c>
      <c r="CW29" s="111">
        <f>DSUM(_xlnm.Database,FILESTAT!CW$3,bfy2012_)</f>
        <v>0</v>
      </c>
      <c r="CX29" s="111">
        <f>DSUM(_xlnm.Database,FILESTAT!CX$3,bfy2012_)</f>
        <v>4</v>
      </c>
      <c r="CY29" s="111">
        <f>DSUM(_xlnm.Database,FILESTAT!CY$3,bfy2012_)</f>
        <v>28</v>
      </c>
      <c r="CZ29" s="111">
        <f>DSUM(_xlnm.Database,FILESTAT!CZ$3,bfy2012_)</f>
        <v>0</v>
      </c>
      <c r="DA29" s="111">
        <f>DSUM(_xlnm.Database,FILESTAT!DA$3,bfy2012_)</f>
        <v>2</v>
      </c>
      <c r="DB29" s="111">
        <f>DSUM(_xlnm.Database,FILESTAT!DB$3,bfy2012_)</f>
        <v>117</v>
      </c>
      <c r="DC29" s="111">
        <f>DSUM(_xlnm.Database,FILESTAT!DC$3,bfy2012_)</f>
        <v>22</v>
      </c>
      <c r="DD29" s="111">
        <f>DSUM(_xlnm.Database,FILESTAT!DD$3,bfy2012_)</f>
        <v>0</v>
      </c>
      <c r="DE29" s="111">
        <f>DSUM(_xlnm.Database,FILESTAT!DE$3,bfy2012_)</f>
        <v>1</v>
      </c>
      <c r="DF29" s="111">
        <f>DSUM(_xlnm.Database,FILESTAT!DF$3,bfy2012_)</f>
        <v>3</v>
      </c>
      <c r="DG29" s="111">
        <f>DSUM(_xlnm.Database,FILESTAT!DG$3,bfy2012_)</f>
        <v>53</v>
      </c>
      <c r="DH29" s="111">
        <f>DSUM(_xlnm.Database,FILESTAT!DH$3,bfy2012_)</f>
        <v>23</v>
      </c>
      <c r="DI29" s="111">
        <f>DSUM(_xlnm.Database,FILESTAT!DI$3,bfy2012_)</f>
        <v>20</v>
      </c>
      <c r="DJ29" s="111">
        <f>DSUM(_xlnm.Database,FILESTAT!DJ$3,bfy2012_)</f>
        <v>13</v>
      </c>
      <c r="DK29" s="111">
        <f>DSUM(_xlnm.Database,FILESTAT!DK$3,bfy2012_)</f>
        <v>4</v>
      </c>
      <c r="DL29" s="111">
        <f>DSUM(_xlnm.Database,FILESTAT!DL$3,bfy2012_)</f>
        <v>0</v>
      </c>
      <c r="DM29" s="111">
        <f>DSUM(_xlnm.Database,FILESTAT!DM$3,bfy2012_)</f>
        <v>66</v>
      </c>
      <c r="DN29" s="111">
        <f>DSUM(_xlnm.Database,FILESTAT!DN$3,bfy2012_)</f>
        <v>1</v>
      </c>
      <c r="DO29" s="111">
        <f>DSUM(_xlnm.Database,FILESTAT!DO$3,bfy2012_)</f>
        <v>65</v>
      </c>
      <c r="DP29" s="111">
        <f>DSUM(_xlnm.Database,FILESTAT!DP$3,bfy2012_)</f>
        <v>0</v>
      </c>
      <c r="DQ29" s="111">
        <f>DSUM(_xlnm.Database,FILESTAT!DQ$3,bfy2012_)</f>
        <v>0</v>
      </c>
      <c r="DS29" s="111">
        <f>DSUM(_xlnm.Database,FILESTAT!DS$3,bfy2012_)</f>
        <v>50</v>
      </c>
      <c r="DT29" s="111">
        <f>DSUM(_xlnm.Database,FILESTAT!DT$3,bfy2012_)</f>
        <v>0</v>
      </c>
      <c r="DU29" s="111">
        <f>DSUM(_xlnm.Database,FILESTAT!DU$3,bfy2012_)</f>
        <v>0</v>
      </c>
      <c r="DV29" s="127">
        <f t="shared" si="11"/>
        <v>1422</v>
      </c>
      <c r="DW29" s="128"/>
    </row>
    <row r="30" spans="1:130" s="111" customFormat="1">
      <c r="A30" s="288">
        <v>2013</v>
      </c>
      <c r="B30" s="189"/>
      <c r="C30" s="110">
        <f>DSUM(_xlnm.Database,FILESTAT!C$3,bfy2013_)</f>
        <v>79</v>
      </c>
      <c r="D30" s="111">
        <f>DSUM(_xlnm.Database,FILESTAT!D$3,bfy2013_)</f>
        <v>433</v>
      </c>
      <c r="E30" s="111">
        <f>DSUM(_xlnm.Database,FILESTAT!E$3,bfy2013_)</f>
        <v>55</v>
      </c>
      <c r="F30" s="111">
        <f>DSUM(_xlnm.Database,FILESTAT!F$3,bfy2013_)</f>
        <v>16</v>
      </c>
      <c r="G30" s="111">
        <f>DSUM(_xlnm.Database,FILESTAT!G$3,bfy2013_)</f>
        <v>51</v>
      </c>
      <c r="H30" s="111">
        <f>DSUM(_xlnm.Database,FILESTAT!H$3,bfy2013_)</f>
        <v>21</v>
      </c>
      <c r="I30" s="111">
        <f>DSUM(_xlnm.Database,FILESTAT!I$3,bfy2013_)</f>
        <v>0</v>
      </c>
      <c r="J30" s="111">
        <f>DSUM(_xlnm.Database,FILESTAT!J$3,bfy2013_)</f>
        <v>549</v>
      </c>
      <c r="K30" s="111">
        <f>DSUM(_xlnm.Database,FILESTAT!K$3,bfy2013_)</f>
        <v>39</v>
      </c>
      <c r="L30" s="111">
        <f>DSUM(_xlnm.Database,FILESTAT!L$3,bfy2013_)</f>
        <v>5</v>
      </c>
      <c r="M30" s="111">
        <f>DSUM(_xlnm.Database,FILESTAT!M$3,bfy2013_)</f>
        <v>1</v>
      </c>
      <c r="N30" s="111">
        <f>DSUM(_xlnm.Database,FILESTAT!N$3,bfy2013_)</f>
        <v>0</v>
      </c>
      <c r="O30" s="111">
        <f>DSUM(_xlnm.Database,FILESTAT!O$3,bfy2013_)</f>
        <v>146</v>
      </c>
      <c r="P30" s="111">
        <f>DSUM(_xlnm.Database,FILESTAT!P$3,bfy2013_)</f>
        <v>25</v>
      </c>
      <c r="Q30" s="111">
        <f>DSUM(_xlnm.Database,FILESTAT!Q$3,bfy2013_)</f>
        <v>2</v>
      </c>
      <c r="R30" s="112">
        <f>DSUM(_xlnm.Database,FILESTAT!R$3,bfy2013_)</f>
        <v>0</v>
      </c>
      <c r="S30" s="120">
        <f>IF(SUM(C30:R30)=FILESTAT!S774,SUM(C30:R30),"PROBLEM")</f>
        <v>1422</v>
      </c>
      <c r="T30" s="131">
        <f>DSUM(_xlnm.Database,FILESTAT!T$3,bfy2013_)</f>
        <v>0</v>
      </c>
      <c r="U30" s="111">
        <f>DSUM(_xlnm.Database,FILESTAT!U$3,bfy2013_)</f>
        <v>207</v>
      </c>
      <c r="V30" s="111">
        <f>DSUM(_xlnm.Database,FILESTAT!V$3,bfy2013_)</f>
        <v>174</v>
      </c>
      <c r="W30" s="111">
        <f>DSUM(_xlnm.Database,FILESTAT!W$3,bfy2013_)</f>
        <v>3</v>
      </c>
      <c r="X30" s="112">
        <f>DSUM(_xlnm.Database,FILESTAT!X$3,bfy2013_)</f>
        <v>5</v>
      </c>
      <c r="Z30" s="110">
        <f>DSUM(_xlnm.Database,FILESTAT!Z$3,bfy2013_)</f>
        <v>9585134</v>
      </c>
      <c r="AA30" s="111">
        <f>DSUM(_xlnm.Database,FILESTAT!AA$3,bfy2013_)</f>
        <v>0</v>
      </c>
      <c r="AC30" s="110">
        <f>DSUM(_xlnm.Database,FILESTAT!AC$3,bfy2013_)</f>
        <v>57816627</v>
      </c>
      <c r="AD30" s="111">
        <f>DSUM(_xlnm.Database,FILESTAT!AD$3,bfy2013_)</f>
        <v>0</v>
      </c>
      <c r="AE30" s="120">
        <f>SUM(AC30:AD30)</f>
        <v>57816627</v>
      </c>
      <c r="AG30" s="110">
        <f>DSUM(_xlnm.Database,FILESTAT!AG$3,bfy2013_)</f>
        <v>2417</v>
      </c>
      <c r="AH30" s="111">
        <f>DSUM(_xlnm.Database,FILESTAT!AH$3,bfy2013_)</f>
        <v>1263</v>
      </c>
      <c r="AI30" s="111">
        <f>DSUM(_xlnm.Database,FILESTAT!AI$3,bfy2013_)</f>
        <v>4063</v>
      </c>
      <c r="AJ30" s="112">
        <f>DSUM(_xlnm.Database,FILESTAT!AJ$3,bfy2013_)</f>
        <v>0</v>
      </c>
      <c r="AL30" s="121">
        <f>DAVERAGE(_xlnm.Database,FILESTAT!AL$3,bfy2013_)</f>
        <v>0</v>
      </c>
      <c r="AM30" s="122">
        <f>DAVERAGE(_xlnm.Database,FILESTAT!AM$3,bfy2013_)</f>
        <v>32.5</v>
      </c>
      <c r="AN30" s="120">
        <f t="shared" si="9"/>
        <v>33</v>
      </c>
      <c r="AO30" s="122"/>
      <c r="AP30" s="122"/>
      <c r="AQ30" s="120">
        <f t="shared" si="10"/>
        <v>0</v>
      </c>
      <c r="AR30" s="122">
        <f>DAVERAGE(_xlnm.Database,FILESTAT!AR$3,bfy2013_)</f>
        <v>157.16666666666666</v>
      </c>
      <c r="AS30" s="122">
        <f>DAVERAGE(_xlnm.Database,FILESTAT!AS$3,bfy2013_)</f>
        <v>122.94444444444444</v>
      </c>
      <c r="AT30" s="122">
        <f>DAVERAGE(_xlnm.Database,FILESTAT!AT$3,bfy2013_)</f>
        <v>194</v>
      </c>
      <c r="AU30" s="122">
        <f>DAVERAGE(_xlnm.Database,FILESTAT!AU$3,bfy2013_)</f>
        <v>22.611111111111111</v>
      </c>
      <c r="AV30" s="123">
        <f>DAVERAGE(_xlnm.Database,FILESTAT!AV$3,bfy2013_)</f>
        <v>389.72222222222223</v>
      </c>
      <c r="AW30"/>
      <c r="AX30" s="356"/>
      <c r="AY30"/>
      <c r="BA30" s="121">
        <f>ROUND(DAVERAGE(_xlnm.Database,FILESTAT!BA$3,bfy2013_),0)</f>
        <v>1999</v>
      </c>
      <c r="BB30" s="122">
        <f>DAVERAGE(_xlnm.Database,FILESTAT!BB$3,bfy2013_)</f>
        <v>73456833.25</v>
      </c>
      <c r="BC30" s="122"/>
      <c r="BD30" s="122"/>
      <c r="BE30" s="111">
        <f>DSUM(_xlnm.Database,FILESTAT!BE$3,bfy2013_)</f>
        <v>1124</v>
      </c>
      <c r="BF30" s="111">
        <f>DSUM(_xlnm.Database,FILESTAT!BF$3,bfy2013_)</f>
        <v>88</v>
      </c>
      <c r="BG30" s="111">
        <f>DSUM(_xlnm.Database,FILESTAT!BG$3,bfy2013_)</f>
        <v>58</v>
      </c>
      <c r="BI30" s="122">
        <f>DAVERAGE(_xlnm.Database,FILESTAT!BI$3,bfy2013_)</f>
        <v>4235819.333333333</v>
      </c>
      <c r="BJ30" s="122"/>
      <c r="BK30" s="122"/>
      <c r="BL30" s="122">
        <f>DAVERAGE(_xlnm.Database,FILESTAT!BL$3,bfy2013_)</f>
        <v>9.8333333333333339</v>
      </c>
      <c r="BM30" s="112">
        <f>DSUM(_xlnm.Database,FILESTAT!BM$3,bfy2013_)</f>
        <v>0</v>
      </c>
      <c r="BO30" s="121"/>
      <c r="BP30" s="123">
        <f>DAVERAGE(_xlnm.Database,FILESTAT!BP$3,bfy2013_)</f>
        <v>167.66666666666666</v>
      </c>
      <c r="BR30" s="236"/>
      <c r="BS30" s="126"/>
      <c r="BT30" s="237"/>
      <c r="BV30" s="110">
        <f>DSUM(_xlnm.Database,FILESTAT!BV$3,bfy2013_)</f>
        <v>49</v>
      </c>
      <c r="BW30" s="111">
        <f>DSUM(_xlnm.Database,FILESTAT!BW$3,bfy2013_)</f>
        <v>22</v>
      </c>
      <c r="BX30" s="111">
        <f>DSUM(_xlnm.Database,FILESTAT!BX$3,bfy2013_)</f>
        <v>24</v>
      </c>
      <c r="BY30" s="111">
        <f>DSUM(_xlnm.Database,FILESTAT!BY$3,bfy2013_)</f>
        <v>0</v>
      </c>
      <c r="BZ30" s="111">
        <f>DSUM(_xlnm.Database,FILESTAT!BZ$3,bfy2013_)</f>
        <v>3</v>
      </c>
      <c r="CA30" s="111">
        <f>DSUM(_xlnm.Database,FILESTAT!CA$3,bfy2013_)</f>
        <v>2</v>
      </c>
      <c r="CB30" s="289">
        <f>DSUM(_xlnm.Database,FILESTAT!CB$3,bfy2013_)</f>
        <v>0</v>
      </c>
      <c r="CC30" s="111">
        <f>DSUM(_xlnm.Database,FILESTAT!CC$3,bfy2013_)</f>
        <v>2</v>
      </c>
      <c r="CD30" s="111">
        <f>DSUM(_xlnm.Database,FILESTAT!CD$3,bfy2013_)</f>
        <v>75</v>
      </c>
      <c r="CE30" s="111">
        <f>DSUM(_xlnm.Database,FILESTAT!CE$3,bfy2013_)</f>
        <v>19</v>
      </c>
      <c r="CF30" s="289">
        <f>DSUM(_xlnm.Database,FILESTAT!CF$3,bfy2013_)</f>
        <v>0</v>
      </c>
      <c r="CG30" s="111">
        <f>DSUM(_xlnm.Database,FILESTAT!CG$3,bfy2013_)</f>
        <v>3</v>
      </c>
      <c r="CH30" s="111">
        <f>DSUM(_xlnm.Database,FILESTAT!CH$3,bfy2013_)</f>
        <v>5</v>
      </c>
      <c r="CI30" s="111">
        <f>DSUM(_xlnm.Database,FILESTAT!CI$3,bfy2013_)</f>
        <v>149</v>
      </c>
      <c r="CJ30" s="111">
        <f>DSUM(_xlnm.Database,FILESTAT!CJ$3,bfy2013_)</f>
        <v>271</v>
      </c>
      <c r="CK30" s="111">
        <f>DSUM(_xlnm.Database,FILESTAT!CK$3,bfy2013_)</f>
        <v>0</v>
      </c>
      <c r="CL30" s="111">
        <f>DSUM(_xlnm.Database,FILESTAT!CL$3,bfy2013_)</f>
        <v>0</v>
      </c>
      <c r="CM30" s="111">
        <f>DSUM(_xlnm.Database,FILESTAT!CM$3,bfy2013_)</f>
        <v>28</v>
      </c>
      <c r="CN30" s="111">
        <f>DSUM(_xlnm.Database,FILESTAT!CN$3,bfy2013_)</f>
        <v>16</v>
      </c>
      <c r="CO30" s="111">
        <f>DSUM(_xlnm.Database,FILESTAT!CO$3,bfy2013_)</f>
        <v>164</v>
      </c>
      <c r="CP30" s="111">
        <f>DSUM(_xlnm.Database,FILESTAT!CP$3,bfy2013_)</f>
        <v>1</v>
      </c>
      <c r="CQ30" s="111">
        <f>DSUM(_xlnm.Database,FILESTAT!CQ$3,bfy2013_)</f>
        <v>12</v>
      </c>
      <c r="CR30" s="111">
        <f>DSUM(_xlnm.Database,FILESTAT!CR$3,bfy2013_)</f>
        <v>0</v>
      </c>
      <c r="CS30" s="111">
        <f>DSUM(_xlnm.Database,FILESTAT!CS$3,bfy2013_)</f>
        <v>14</v>
      </c>
      <c r="CT30" s="111">
        <f>DSUM(_xlnm.Database,FILESTAT!CT$3,bfy2013_)</f>
        <v>91</v>
      </c>
      <c r="CU30" s="289">
        <f>DSUM(_xlnm.Database,FILESTAT!CU$3,bfy2013_)</f>
        <v>0</v>
      </c>
      <c r="CV30" s="111">
        <f>DSUM(_xlnm.Database,FILESTAT!CV$3,bfy2013_)</f>
        <v>53</v>
      </c>
      <c r="CW30" s="111">
        <f>DSUM(_xlnm.Database,FILESTAT!CW$3,bfy2013_)</f>
        <v>0</v>
      </c>
      <c r="CX30" s="111">
        <f>DSUM(_xlnm.Database,FILESTAT!CX$3,bfy2013_)</f>
        <v>3</v>
      </c>
      <c r="CY30" s="111">
        <f>DSUM(_xlnm.Database,FILESTAT!CY$3,bfy2013_)</f>
        <v>45</v>
      </c>
      <c r="CZ30" s="111">
        <f>DSUM(_xlnm.Database,FILESTAT!CZ$3,bfy2013_)</f>
        <v>0</v>
      </c>
      <c r="DA30" s="111">
        <f>DSUM(_xlnm.Database,FILESTAT!DA$3,bfy2013_)</f>
        <v>2</v>
      </c>
      <c r="DB30" s="111">
        <f>DSUM(_xlnm.Database,FILESTAT!DB$3,bfy2013_)</f>
        <v>112</v>
      </c>
      <c r="DC30" s="111">
        <f>DSUM(_xlnm.Database,FILESTAT!DC$3,bfy2013_)</f>
        <v>42</v>
      </c>
      <c r="DD30" s="111">
        <f>DSUM(_xlnm.Database,FILESTAT!DD$3,bfy2013_)</f>
        <v>8</v>
      </c>
      <c r="DE30" s="111">
        <f>DSUM(_xlnm.Database,FILESTAT!DE$3,bfy2013_)</f>
        <v>0</v>
      </c>
      <c r="DF30" s="111">
        <f>DSUM(_xlnm.Database,FILESTAT!DF$3,bfy2013_)</f>
        <v>0</v>
      </c>
      <c r="DG30" s="111">
        <f>DSUM(_xlnm.Database,FILESTAT!DG$3,bfy2013_)</f>
        <v>42</v>
      </c>
      <c r="DH30" s="111">
        <f>DSUM(_xlnm.Database,FILESTAT!DH$3,bfy2013_)</f>
        <v>21</v>
      </c>
      <c r="DI30" s="111">
        <f>DSUM(_xlnm.Database,FILESTAT!DI$3,bfy2013_)</f>
        <v>24</v>
      </c>
      <c r="DJ30" s="111">
        <f>DSUM(_xlnm.Database,FILESTAT!DJ$3,bfy2013_)</f>
        <v>12</v>
      </c>
      <c r="DK30" s="111">
        <f>DSUM(_xlnm.Database,FILESTAT!DK$3,bfy2013_)</f>
        <v>1</v>
      </c>
      <c r="DL30" s="111">
        <f>DSUM(_xlnm.Database,FILESTAT!DL$3,bfy2013_)</f>
        <v>0</v>
      </c>
      <c r="DM30" s="111">
        <f>DSUM(_xlnm.Database,FILESTAT!DM$3,bfy2013_)</f>
        <v>18</v>
      </c>
      <c r="DN30" s="111">
        <f>DSUM(_xlnm.Database,FILESTAT!DN$3,bfy2013_)</f>
        <v>3</v>
      </c>
      <c r="DO30" s="111">
        <f>DSUM(_xlnm.Database,FILESTAT!DO$3,bfy2013_)</f>
        <v>27</v>
      </c>
      <c r="DP30" s="111">
        <f>DSUM(_xlnm.Database,FILESTAT!DP$3,bfy2013_)</f>
        <v>0</v>
      </c>
      <c r="DQ30" s="111">
        <f>DSUM(_xlnm.Database,FILESTAT!DQ$3,bfy2013_)</f>
        <v>2</v>
      </c>
      <c r="DS30" s="111">
        <f>DSUM(_xlnm.Database,FILESTAT!DS$3,bfy2013_)</f>
        <v>57</v>
      </c>
      <c r="DT30" s="111">
        <f>DSUM(_xlnm.Database,FILESTAT!DT$3,bfy2013_)</f>
        <v>0</v>
      </c>
      <c r="DU30" s="111">
        <f>DSUM(_xlnm.Database,FILESTAT!DU$3,bfy2013_)</f>
        <v>0</v>
      </c>
      <c r="DV30" s="127">
        <f t="shared" si="11"/>
        <v>1422</v>
      </c>
      <c r="DW30" s="128"/>
    </row>
    <row r="31" spans="1:130" s="111" customFormat="1">
      <c r="A31" s="288" t="s">
        <v>315</v>
      </c>
      <c r="B31" s="189"/>
      <c r="C31" s="110">
        <f>DSUM(_xlnm.Database,FILESTAT!C$3,bfy2014_)</f>
        <v>0</v>
      </c>
      <c r="D31" s="111">
        <f>DSUM(_xlnm.Database,FILESTAT!D$3,bfy2014_)</f>
        <v>0</v>
      </c>
      <c r="E31" s="111">
        <f>DSUM(_xlnm.Database,FILESTAT!E$3,bfy2014_)</f>
        <v>0</v>
      </c>
      <c r="F31" s="111">
        <f>DSUM(_xlnm.Database,FILESTAT!F$3,bfy2014_)</f>
        <v>0</v>
      </c>
      <c r="G31" s="111">
        <f>DSUM(_xlnm.Database,FILESTAT!G$3,bfy2014_)</f>
        <v>0</v>
      </c>
      <c r="H31" s="111">
        <f>DSUM(_xlnm.Database,FILESTAT!H$3,bfy2014_)</f>
        <v>0</v>
      </c>
      <c r="I31" s="111">
        <f>DSUM(_xlnm.Database,FILESTAT!I$3,bfy2014_)</f>
        <v>0</v>
      </c>
      <c r="J31" s="111">
        <f>DSUM(_xlnm.Database,FILESTAT!J$3,bfy2014_)</f>
        <v>0</v>
      </c>
      <c r="K31" s="111">
        <f>DSUM(_xlnm.Database,FILESTAT!K$3,bfy2014_)</f>
        <v>0</v>
      </c>
      <c r="L31" s="111">
        <f>DSUM(_xlnm.Database,FILESTAT!L$3,bfy2014_)</f>
        <v>0</v>
      </c>
      <c r="M31" s="111">
        <f>DSUM(_xlnm.Database,FILESTAT!M$3,bfy2014_)</f>
        <v>0</v>
      </c>
      <c r="N31" s="111">
        <f>DSUM(_xlnm.Database,FILESTAT!N$3,bfy2014_)</f>
        <v>0</v>
      </c>
      <c r="O31" s="111">
        <f>DSUM(_xlnm.Database,FILESTAT!O$3,bfy2014_)</f>
        <v>0</v>
      </c>
      <c r="P31" s="111">
        <f>DSUM(_xlnm.Database,FILESTAT!P$3,bfy2014_)</f>
        <v>0</v>
      </c>
      <c r="Q31" s="111">
        <f>DSUM(_xlnm.Database,FILESTAT!Q$3,bfy2014_)</f>
        <v>0</v>
      </c>
      <c r="R31" s="112">
        <f>DSUM(_xlnm.Database,FILESTAT!R$3,bfy2014_)</f>
        <v>0</v>
      </c>
      <c r="S31" s="120" t="str">
        <f>IF(SUM(C31:R31)=FILESTAT!S806,SUM(C31:R31),"PROBLEM")</f>
        <v>PROBLEM</v>
      </c>
      <c r="T31" s="131">
        <f>DSUM(_xlnm.Database,FILESTAT!T$3,bfy2014_)</f>
        <v>0</v>
      </c>
      <c r="U31" s="111">
        <f>DSUM(_xlnm.Database,FILESTAT!U$3,bfy2014_)</f>
        <v>0</v>
      </c>
      <c r="V31" s="111">
        <f>DSUM(_xlnm.Database,FILESTAT!V$3,bfy2014_)</f>
        <v>0</v>
      </c>
      <c r="W31" s="111">
        <f>DSUM(_xlnm.Database,FILESTAT!W$3,bfy2014_)</f>
        <v>0</v>
      </c>
      <c r="X31" s="112">
        <f>DSUM(_xlnm.Database,FILESTAT!X$3,bfy2014_)</f>
        <v>0</v>
      </c>
      <c r="Z31" s="110">
        <f>DSUM(_xlnm.Database,FILESTAT!Z$3,bfy2014_)</f>
        <v>0</v>
      </c>
      <c r="AA31" s="111">
        <f>DSUM(_xlnm.Database,FILESTAT!AA$3,bfy2014_)</f>
        <v>0</v>
      </c>
      <c r="AC31" s="110">
        <f>DSUM(_xlnm.Database,FILESTAT!AC$3,bfy2014_)</f>
        <v>0</v>
      </c>
      <c r="AD31" s="111">
        <f>DSUM(_xlnm.Database,FILESTAT!AD$3,bfy2014_)</f>
        <v>0</v>
      </c>
      <c r="AE31" s="120">
        <f>SUM(AC31:AD31)</f>
        <v>0</v>
      </c>
      <c r="AG31" s="110">
        <f>DSUM(_xlnm.Database,FILESTAT!AG$3,bfy2014_)</f>
        <v>0</v>
      </c>
      <c r="AH31" s="111">
        <f>DSUM(_xlnm.Database,FILESTAT!AH$3,bfy2014_)</f>
        <v>0</v>
      </c>
      <c r="AI31" s="111">
        <f>DSUM(_xlnm.Database,FILESTAT!AI$3,bfy2014_)</f>
        <v>0</v>
      </c>
      <c r="AJ31" s="112">
        <f>DSUM(_xlnm.Database,FILESTAT!AJ$3,bfy2014_)</f>
        <v>0</v>
      </c>
      <c r="AL31" s="121" t="e">
        <f>DAVERAGE(_xlnm.Database,FILESTAT!AL$3,bfy2014_)</f>
        <v>#DIV/0!</v>
      </c>
      <c r="AM31" s="122" t="e">
        <f>DAVERAGE(_xlnm.Database,FILESTAT!AM$3,bfy2014_)</f>
        <v>#DIV/0!</v>
      </c>
      <c r="AN31" s="120" t="e">
        <f t="shared" si="9"/>
        <v>#DIV/0!</v>
      </c>
      <c r="AO31" s="122"/>
      <c r="AP31" s="122"/>
      <c r="AQ31" s="120">
        <f t="shared" si="10"/>
        <v>0</v>
      </c>
      <c r="AR31" s="122" t="e">
        <f>DAVERAGE(_xlnm.Database,FILESTAT!AR$3,bfy2014_)</f>
        <v>#DIV/0!</v>
      </c>
      <c r="AS31" s="122" t="e">
        <f>DAVERAGE(_xlnm.Database,FILESTAT!AS$3,bfy2014_)</f>
        <v>#DIV/0!</v>
      </c>
      <c r="AT31" s="122" t="e">
        <f>DAVERAGE(_xlnm.Database,FILESTAT!AT$3,bfy2014_)</f>
        <v>#DIV/0!</v>
      </c>
      <c r="AU31" s="122" t="e">
        <f>DAVERAGE(_xlnm.Database,FILESTAT!AU$3,bfy2014_)</f>
        <v>#DIV/0!</v>
      </c>
      <c r="AV31" s="123" t="e">
        <f>DAVERAGE(_xlnm.Database,FILESTAT!AV$3,bfy2014_)</f>
        <v>#DIV/0!</v>
      </c>
      <c r="AW31" s="366"/>
      <c r="AX31" s="366"/>
      <c r="AY31" s="366"/>
      <c r="BA31" s="121" t="e">
        <f>ROUND(DAVERAGE(_xlnm.Database,FILESTAT!BA$3,bfy2014_),0)</f>
        <v>#DIV/0!</v>
      </c>
      <c r="BB31" s="122" t="e">
        <f>DAVERAGE(_xlnm.Database,FILESTAT!BB$3,bfy2014_)</f>
        <v>#DIV/0!</v>
      </c>
      <c r="BC31" s="122"/>
      <c r="BD31" s="122"/>
      <c r="BE31" s="111">
        <f>DSUM(_xlnm.Database,FILESTAT!BE$3,bfy2014_)</f>
        <v>0</v>
      </c>
      <c r="BF31" s="111">
        <f>DSUM(_xlnm.Database,FILESTAT!BF$3,bfy2014_)</f>
        <v>0</v>
      </c>
      <c r="BG31" s="111">
        <f>DSUM(_xlnm.Database,FILESTAT!BG$3,bfy2014_)</f>
        <v>0</v>
      </c>
      <c r="BI31" s="122" t="e">
        <f>DAVERAGE(_xlnm.Database,FILESTAT!BI$3,bfy2014_)</f>
        <v>#DIV/0!</v>
      </c>
      <c r="BJ31" s="122"/>
      <c r="BK31" s="122"/>
      <c r="BL31" s="122" t="e">
        <f>DAVERAGE(_xlnm.Database,FILESTAT!BL$3,bfy2014_)</f>
        <v>#DIV/0!</v>
      </c>
      <c r="BM31" s="112">
        <f>DSUM(_xlnm.Database,FILESTAT!BM$3,bfy2014_)</f>
        <v>0</v>
      </c>
      <c r="BO31" s="121"/>
      <c r="BP31" s="123" t="e">
        <f>DAVERAGE(_xlnm.Database,FILESTAT!BP$3,bfy2014_)</f>
        <v>#DIV/0!</v>
      </c>
      <c r="BR31" s="236"/>
      <c r="BS31" s="126"/>
      <c r="BT31" s="237"/>
      <c r="BV31" s="110">
        <f>DSUM(_xlnm.Database,FILESTAT!BV$3,bfy2014_)</f>
        <v>0</v>
      </c>
      <c r="BW31" s="111">
        <f>DSUM(_xlnm.Database,FILESTAT!BW$3,bfy2014_)</f>
        <v>0</v>
      </c>
      <c r="BX31" s="111">
        <f>DSUM(_xlnm.Database,FILESTAT!BX$3,bfy2014_)</f>
        <v>0</v>
      </c>
      <c r="BY31" s="111">
        <f>DSUM(_xlnm.Database,FILESTAT!BY$3,bfy2014_)</f>
        <v>0</v>
      </c>
      <c r="BZ31" s="111">
        <f>DSUM(_xlnm.Database,FILESTAT!BZ$3,bfy2014_)</f>
        <v>0</v>
      </c>
      <c r="CA31" s="111">
        <f>DSUM(_xlnm.Database,FILESTAT!CA$3,bfy2014_)</f>
        <v>0</v>
      </c>
      <c r="CB31" s="289">
        <f>DSUM(_xlnm.Database,FILESTAT!CB$3,bfy2014_)</f>
        <v>0</v>
      </c>
      <c r="CC31" s="111">
        <f>DSUM(_xlnm.Database,FILESTAT!CC$3,bfy2014_)</f>
        <v>0</v>
      </c>
      <c r="CD31" s="111">
        <f>DSUM(_xlnm.Database,FILESTAT!CD$3,bfy2014_)</f>
        <v>0</v>
      </c>
      <c r="CE31" s="289">
        <f>DSUM(_xlnm.Database,FILESTAT!CE$3,bfy2014_)</f>
        <v>0</v>
      </c>
      <c r="CF31" s="289">
        <f>DSUM(_xlnm.Database,FILESTAT!CF$3,bfy2014_)</f>
        <v>0</v>
      </c>
      <c r="CG31" s="111">
        <f>DSUM(_xlnm.Database,FILESTAT!CG$3,bfy2014_)</f>
        <v>0</v>
      </c>
      <c r="CH31" s="111">
        <f>DSUM(_xlnm.Database,FILESTAT!CH$3,bfy2014_)</f>
        <v>0</v>
      </c>
      <c r="CI31" s="111">
        <f>DSUM(_xlnm.Database,FILESTAT!CI$3,bfy2014_)</f>
        <v>0</v>
      </c>
      <c r="CJ31" s="111">
        <f>DSUM(_xlnm.Database,FILESTAT!CJ$3,bfy2014_)</f>
        <v>0</v>
      </c>
      <c r="CK31" s="111">
        <f>DSUM(_xlnm.Database,FILESTAT!CK$3,bfy2014_)</f>
        <v>0</v>
      </c>
      <c r="CL31" s="111">
        <f>DSUM(_xlnm.Database,FILESTAT!CL$3,bfy2014_)</f>
        <v>0</v>
      </c>
      <c r="CM31" s="111">
        <f>DSUM(_xlnm.Database,FILESTAT!CM$3,bfy2014_)</f>
        <v>0</v>
      </c>
      <c r="CN31" s="111">
        <f>DSUM(_xlnm.Database,FILESTAT!CN$3,bfy2014_)</f>
        <v>0</v>
      </c>
      <c r="CO31" s="111">
        <f>DSUM(_xlnm.Database,FILESTAT!CO$3,bfy2014_)</f>
        <v>0</v>
      </c>
      <c r="CP31" s="111">
        <f>DSUM(_xlnm.Database,FILESTAT!CP$3,bfy2014_)</f>
        <v>0</v>
      </c>
      <c r="CQ31" s="111">
        <f>DSUM(_xlnm.Database,FILESTAT!CQ$3,bfy2014_)</f>
        <v>0</v>
      </c>
      <c r="CR31" s="111">
        <f>DSUM(_xlnm.Database,FILESTAT!CR$3,bfy2014_)</f>
        <v>0</v>
      </c>
      <c r="CS31" s="111">
        <f>DSUM(_xlnm.Database,FILESTAT!CS$3,bfy2014_)</f>
        <v>0</v>
      </c>
      <c r="CT31" s="111">
        <f>DSUM(_xlnm.Database,FILESTAT!CT$3,bfy2014_)</f>
        <v>0</v>
      </c>
      <c r="CU31" s="289">
        <f>DSUM(_xlnm.Database,FILESTAT!CU$3,bfy2014_)</f>
        <v>0</v>
      </c>
      <c r="CV31" s="111">
        <f>DSUM(_xlnm.Database,FILESTAT!CV$3,bfy2014_)</f>
        <v>0</v>
      </c>
      <c r="CW31" s="111">
        <f>DSUM(_xlnm.Database,FILESTAT!CW$3,bfy2014_)</f>
        <v>0</v>
      </c>
      <c r="CX31" s="111">
        <f>DSUM(_xlnm.Database,FILESTAT!CX$3,bfy2014_)</f>
        <v>0</v>
      </c>
      <c r="CY31" s="111">
        <f>DSUM(_xlnm.Database,FILESTAT!CY$3,bfy2014_)</f>
        <v>0</v>
      </c>
      <c r="CZ31" s="111">
        <f>DSUM(_xlnm.Database,FILESTAT!CZ$3,bfy2014_)</f>
        <v>0</v>
      </c>
      <c r="DA31" s="111">
        <f>DSUM(_xlnm.Database,FILESTAT!DA$3,bfy2014_)</f>
        <v>0</v>
      </c>
      <c r="DB31" s="111">
        <f>DSUM(_xlnm.Database,FILESTAT!DB$3,bfy2014_)</f>
        <v>0</v>
      </c>
      <c r="DC31" s="111">
        <f>DSUM(_xlnm.Database,FILESTAT!DC$3,bfy2014_)</f>
        <v>0</v>
      </c>
      <c r="DD31" s="111">
        <f>DSUM(_xlnm.Database,FILESTAT!DD$3,bfy2014_)</f>
        <v>0</v>
      </c>
      <c r="DE31" s="111">
        <f>DSUM(_xlnm.Database,FILESTAT!DE$3,bfy2014_)</f>
        <v>0</v>
      </c>
      <c r="DF31" s="111">
        <f>DSUM(_xlnm.Database,FILESTAT!DF$3,bfy2014_)</f>
        <v>0</v>
      </c>
      <c r="DG31" s="111">
        <f>DSUM(_xlnm.Database,FILESTAT!DG$3,bfy2014_)</f>
        <v>0</v>
      </c>
      <c r="DH31" s="111">
        <f>DSUM(_xlnm.Database,FILESTAT!DH$3,bfy2014_)</f>
        <v>0</v>
      </c>
      <c r="DI31" s="111">
        <f>DSUM(_xlnm.Database,FILESTAT!DI$3,bfy2014_)</f>
        <v>0</v>
      </c>
      <c r="DJ31" s="111">
        <f>DSUM(_xlnm.Database,FILESTAT!DJ$3,bfy2014_)</f>
        <v>0</v>
      </c>
      <c r="DK31" s="111">
        <f>DSUM(_xlnm.Database,FILESTAT!DK$3,bfy2014_)</f>
        <v>0</v>
      </c>
      <c r="DL31" s="111">
        <f>DSUM(_xlnm.Database,FILESTAT!DL$3,bfy2014_)</f>
        <v>0</v>
      </c>
      <c r="DM31" s="111">
        <f>DSUM(_xlnm.Database,FILESTAT!DM$3,bfy2014_)</f>
        <v>0</v>
      </c>
      <c r="DN31" s="111">
        <f>DSUM(_xlnm.Database,FILESTAT!DN$3,bfy2014_)</f>
        <v>0</v>
      </c>
      <c r="DO31" s="111">
        <f>DSUM(_xlnm.Database,FILESTAT!DO$3,bfy2014_)</f>
        <v>0</v>
      </c>
      <c r="DP31" s="111">
        <f>DSUM(_xlnm.Database,FILESTAT!DP$3,bfy2014_)</f>
        <v>0</v>
      </c>
      <c r="DQ31" s="111">
        <f>DSUM(_xlnm.Database,FILESTAT!DQ$3,bfy2014_)</f>
        <v>0</v>
      </c>
      <c r="DS31" s="111">
        <f>DSUM(_xlnm.Database,FILESTAT!DS$3,bfy2014_)</f>
        <v>0</v>
      </c>
      <c r="DT31" s="111">
        <f>DSUM(_xlnm.Database,FILESTAT!DT$3,bfy2014_)</f>
        <v>0</v>
      </c>
      <c r="DU31" s="111">
        <f>DSUM(_xlnm.Database,FILESTAT!DU$3,bfy2014_)</f>
        <v>0</v>
      </c>
      <c r="DV31" s="127">
        <f t="shared" si="11"/>
        <v>0</v>
      </c>
      <c r="DW31" s="128"/>
    </row>
    <row r="32" spans="1:130" s="111" customFormat="1">
      <c r="A32" s="119">
        <v>2015</v>
      </c>
      <c r="B32" s="189"/>
      <c r="C32" s="110"/>
      <c r="S32" s="120"/>
      <c r="T32" s="131"/>
      <c r="X32" s="112"/>
      <c r="Z32" s="110"/>
      <c r="AC32" s="110"/>
      <c r="AE32" s="120"/>
      <c r="AG32" s="110"/>
      <c r="AJ32" s="112"/>
      <c r="AL32" s="121"/>
      <c r="AM32" s="122"/>
      <c r="AN32" s="120"/>
      <c r="AO32" s="122"/>
      <c r="AP32" s="122"/>
      <c r="AQ32" s="120"/>
      <c r="AR32" s="122"/>
      <c r="AS32" s="122"/>
      <c r="AT32" s="122"/>
      <c r="AU32" s="122"/>
      <c r="AV32" s="123"/>
      <c r="AW32"/>
      <c r="AX32" s="356"/>
      <c r="AY32"/>
      <c r="BA32" s="121"/>
      <c r="BB32" s="122"/>
      <c r="BC32" s="122"/>
      <c r="BD32" s="122"/>
      <c r="BI32" s="122"/>
      <c r="BJ32" s="122"/>
      <c r="BK32" s="122"/>
      <c r="BL32" s="122"/>
      <c r="BM32" s="112"/>
      <c r="BO32" s="121"/>
      <c r="BP32" s="123"/>
      <c r="BR32" s="236"/>
      <c r="BS32" s="126"/>
      <c r="BT32" s="237"/>
      <c r="BV32" s="110"/>
      <c r="CU32" s="289"/>
      <c r="DV32" s="127"/>
      <c r="DW32" s="128"/>
    </row>
    <row r="33" spans="1:129" s="111" customFormat="1">
      <c r="A33" s="119">
        <v>2016</v>
      </c>
      <c r="B33" s="189"/>
      <c r="C33" s="110"/>
      <c r="S33" s="120"/>
      <c r="T33" s="131"/>
      <c r="X33" s="112"/>
      <c r="Z33" s="110"/>
      <c r="AC33" s="110"/>
      <c r="AE33" s="120"/>
      <c r="AG33" s="110"/>
      <c r="AJ33" s="112"/>
      <c r="AL33" s="121"/>
      <c r="AM33" s="122"/>
      <c r="AN33" s="120"/>
      <c r="AO33" s="122"/>
      <c r="AP33" s="122"/>
      <c r="AQ33" s="120"/>
      <c r="AR33" s="122"/>
      <c r="AS33" s="122"/>
      <c r="AT33" s="122"/>
      <c r="AU33" s="122"/>
      <c r="AV33" s="123"/>
      <c r="AW33"/>
      <c r="AX33" s="356"/>
      <c r="AY33"/>
      <c r="BA33" s="121"/>
      <c r="BB33" s="122"/>
      <c r="BC33" s="122"/>
      <c r="BD33" s="122"/>
      <c r="BI33" s="122"/>
      <c r="BJ33" s="122"/>
      <c r="BK33" s="122"/>
      <c r="BL33" s="122"/>
      <c r="BM33" s="112"/>
      <c r="BO33" s="121"/>
      <c r="BP33" s="123"/>
      <c r="BR33" s="236"/>
      <c r="BS33" s="126"/>
      <c r="BT33" s="237"/>
      <c r="BV33" s="110"/>
      <c r="CU33" s="289"/>
      <c r="DV33" s="127"/>
      <c r="DW33" s="128"/>
    </row>
    <row r="34" spans="1:129" s="111" customFormat="1">
      <c r="A34" s="119">
        <v>2017</v>
      </c>
      <c r="B34" s="189"/>
      <c r="C34" s="110"/>
      <c r="S34" s="120"/>
      <c r="T34" s="131"/>
      <c r="X34" s="112"/>
      <c r="Z34" s="110"/>
      <c r="AC34" s="110"/>
      <c r="AE34" s="120"/>
      <c r="AG34" s="110"/>
      <c r="AJ34" s="112"/>
      <c r="AL34" s="121"/>
      <c r="AM34" s="122"/>
      <c r="AN34" s="120"/>
      <c r="AO34" s="122"/>
      <c r="AP34" s="122"/>
      <c r="AQ34" s="120"/>
      <c r="AR34" s="122"/>
      <c r="AS34" s="122"/>
      <c r="AT34" s="122"/>
      <c r="AU34" s="122"/>
      <c r="AV34" s="123"/>
      <c r="AW34"/>
      <c r="AX34" s="356"/>
      <c r="AY34"/>
      <c r="BA34" s="121"/>
      <c r="BB34" s="122"/>
      <c r="BC34" s="122"/>
      <c r="BD34" s="122"/>
      <c r="BI34" s="122"/>
      <c r="BJ34" s="122"/>
      <c r="BK34" s="122"/>
      <c r="BL34" s="122"/>
      <c r="BM34" s="112"/>
      <c r="BO34" s="121"/>
      <c r="BP34" s="123"/>
      <c r="BR34" s="236"/>
      <c r="BS34" s="126"/>
      <c r="BT34" s="237"/>
      <c r="BV34" s="110"/>
      <c r="CU34" s="289"/>
      <c r="DV34" s="127"/>
      <c r="DW34" s="128"/>
    </row>
    <row r="35" spans="1:129" s="111" customFormat="1">
      <c r="A35" s="119">
        <v>2018</v>
      </c>
      <c r="B35" s="189"/>
      <c r="C35" s="110"/>
      <c r="S35" s="120"/>
      <c r="T35" s="131"/>
      <c r="X35" s="112"/>
      <c r="Z35" s="110"/>
      <c r="AC35" s="110"/>
      <c r="AE35" s="120"/>
      <c r="AG35" s="110"/>
      <c r="AJ35" s="112"/>
      <c r="AL35" s="121"/>
      <c r="AM35" s="122"/>
      <c r="AN35" s="120"/>
      <c r="AO35" s="122"/>
      <c r="AP35" s="122"/>
      <c r="AQ35" s="120"/>
      <c r="AR35" s="122"/>
      <c r="AS35" s="122"/>
      <c r="AT35" s="122"/>
      <c r="AU35" s="122"/>
      <c r="AV35" s="123"/>
      <c r="AW35"/>
      <c r="AX35" s="356"/>
      <c r="AY35"/>
      <c r="BA35" s="121"/>
      <c r="BB35" s="122"/>
      <c r="BC35" s="122"/>
      <c r="BD35" s="122"/>
      <c r="BI35" s="122"/>
      <c r="BJ35" s="122"/>
      <c r="BK35" s="122"/>
      <c r="BL35" s="122"/>
      <c r="BM35" s="112"/>
      <c r="BO35" s="121"/>
      <c r="BP35" s="123"/>
      <c r="BR35" s="236"/>
      <c r="BS35" s="126"/>
      <c r="BT35" s="237"/>
      <c r="BV35" s="110"/>
      <c r="CU35" s="289"/>
      <c r="DV35" s="127"/>
      <c r="DW35" s="128"/>
    </row>
    <row r="36" spans="1:129" s="111" customFormat="1">
      <c r="A36" s="119">
        <v>2019</v>
      </c>
      <c r="B36" s="189"/>
      <c r="C36" s="110"/>
      <c r="S36" s="120"/>
      <c r="T36" s="131"/>
      <c r="X36" s="112"/>
      <c r="Z36" s="110"/>
      <c r="AC36" s="110"/>
      <c r="AE36" s="120"/>
      <c r="AG36" s="110"/>
      <c r="AJ36" s="112"/>
      <c r="AL36" s="121"/>
      <c r="AM36" s="122"/>
      <c r="AN36" s="120"/>
      <c r="AO36" s="122"/>
      <c r="AP36" s="122"/>
      <c r="AQ36" s="120"/>
      <c r="AR36" s="122"/>
      <c r="AS36" s="122"/>
      <c r="AT36" s="122"/>
      <c r="AU36" s="122"/>
      <c r="AV36" s="123"/>
      <c r="AW36"/>
      <c r="AX36" s="356"/>
      <c r="AY36"/>
      <c r="BA36" s="121"/>
      <c r="BB36" s="122"/>
      <c r="BC36" s="122"/>
      <c r="BD36" s="122"/>
      <c r="BI36" s="122"/>
      <c r="BJ36" s="122"/>
      <c r="BK36" s="122"/>
      <c r="BL36" s="122"/>
      <c r="BM36" s="112"/>
      <c r="BO36" s="121"/>
      <c r="BP36" s="123"/>
      <c r="BR36" s="236"/>
      <c r="BS36" s="126"/>
      <c r="BT36" s="237"/>
      <c r="BV36" s="110"/>
      <c r="CU36" s="289"/>
      <c r="DV36" s="127"/>
      <c r="DW36" s="128"/>
    </row>
    <row r="37" spans="1:129" s="111" customFormat="1">
      <c r="A37" s="119">
        <v>2020</v>
      </c>
      <c r="B37" s="189"/>
      <c r="C37" s="110"/>
      <c r="S37" s="120"/>
      <c r="T37" s="131"/>
      <c r="X37" s="112"/>
      <c r="Z37" s="110"/>
      <c r="AC37" s="110"/>
      <c r="AE37" s="120"/>
      <c r="AG37" s="110"/>
      <c r="AJ37" s="112"/>
      <c r="AL37" s="121"/>
      <c r="AM37" s="122"/>
      <c r="AN37" s="120"/>
      <c r="AO37" s="122"/>
      <c r="AP37" s="122"/>
      <c r="AQ37" s="120"/>
      <c r="AR37" s="122"/>
      <c r="AS37" s="122"/>
      <c r="AT37" s="122"/>
      <c r="AU37" s="122"/>
      <c r="AV37" s="123"/>
      <c r="AW37"/>
      <c r="AX37" s="356"/>
      <c r="AY37"/>
      <c r="BA37" s="121"/>
      <c r="BB37" s="122"/>
      <c r="BC37" s="122"/>
      <c r="BD37" s="122"/>
      <c r="BI37" s="122"/>
      <c r="BJ37" s="122"/>
      <c r="BK37" s="122"/>
      <c r="BL37" s="122"/>
      <c r="BM37" s="112"/>
      <c r="BO37" s="121"/>
      <c r="BP37" s="123"/>
      <c r="BR37" s="236"/>
      <c r="BS37" s="126"/>
      <c r="BT37" s="237"/>
      <c r="BV37" s="110"/>
      <c r="CU37" s="289"/>
      <c r="DV37" s="127"/>
      <c r="DW37" s="128"/>
    </row>
    <row r="38" spans="1:129" s="111" customFormat="1">
      <c r="A38" s="119"/>
      <c r="B38" s="189"/>
      <c r="C38" s="110"/>
      <c r="S38" s="120"/>
      <c r="T38" s="132"/>
      <c r="X38" s="112"/>
      <c r="Z38" s="110"/>
      <c r="AC38" s="110"/>
      <c r="AE38" s="120"/>
      <c r="AG38" s="110"/>
      <c r="AJ38" s="112"/>
      <c r="AL38" s="121"/>
      <c r="AM38" s="122"/>
      <c r="AN38" s="120"/>
      <c r="AO38" s="122"/>
      <c r="AP38" s="122"/>
      <c r="AQ38" s="120"/>
      <c r="AR38" s="122"/>
      <c r="AS38" s="122"/>
      <c r="AT38" s="122"/>
      <c r="AU38" s="122"/>
      <c r="AV38" s="123"/>
      <c r="AW38"/>
      <c r="AX38" s="356"/>
      <c r="AY38"/>
      <c r="BA38" s="121"/>
      <c r="BB38" s="122"/>
      <c r="BC38" s="122"/>
      <c r="BD38" s="122"/>
      <c r="BI38" s="122"/>
      <c r="BJ38" s="122"/>
      <c r="BK38" s="122"/>
      <c r="BL38" s="122"/>
      <c r="BM38" s="112"/>
      <c r="BO38" s="121"/>
      <c r="BP38" s="123"/>
      <c r="BR38" s="236"/>
      <c r="BS38" s="126"/>
      <c r="BT38" s="237"/>
      <c r="BV38" s="110"/>
      <c r="CU38" s="289"/>
      <c r="DV38" s="127"/>
      <c r="DW38" s="128"/>
    </row>
    <row r="39" spans="1:129" s="111" customFormat="1" ht="12" thickBot="1">
      <c r="A39" s="133" t="s">
        <v>123</v>
      </c>
      <c r="B39" s="114"/>
      <c r="C39" s="113">
        <f t="shared" ref="C39:AJ39" si="12">SUM(C5:C30)</f>
        <v>2116</v>
      </c>
      <c r="D39" s="114">
        <f t="shared" si="12"/>
        <v>11119</v>
      </c>
      <c r="E39" s="114">
        <f t="shared" si="12"/>
        <v>1200</v>
      </c>
      <c r="F39" s="114">
        <f t="shared" si="12"/>
        <v>353</v>
      </c>
      <c r="G39" s="114">
        <f t="shared" si="12"/>
        <v>970</v>
      </c>
      <c r="H39" s="114">
        <f t="shared" si="12"/>
        <v>686</v>
      </c>
      <c r="I39" s="114">
        <f>SUM(I5:I30)</f>
        <v>5</v>
      </c>
      <c r="J39" s="114">
        <f t="shared" ref="J39:O39" si="13">SUM(J5:J30)</f>
        <v>6749</v>
      </c>
      <c r="K39" s="114">
        <f t="shared" si="13"/>
        <v>244</v>
      </c>
      <c r="L39" s="114">
        <f t="shared" si="13"/>
        <v>95</v>
      </c>
      <c r="M39" s="114">
        <f t="shared" si="13"/>
        <v>10</v>
      </c>
      <c r="N39" s="114">
        <f t="shared" si="13"/>
        <v>0</v>
      </c>
      <c r="O39" s="114">
        <f t="shared" si="13"/>
        <v>5908</v>
      </c>
      <c r="P39" s="114">
        <f t="shared" si="12"/>
        <v>497</v>
      </c>
      <c r="Q39" s="114">
        <f t="shared" si="12"/>
        <v>73</v>
      </c>
      <c r="R39" s="114">
        <f t="shared" si="12"/>
        <v>114</v>
      </c>
      <c r="S39" s="134">
        <f t="shared" si="12"/>
        <v>30139</v>
      </c>
      <c r="T39" s="135">
        <f t="shared" si="12"/>
        <v>868</v>
      </c>
      <c r="U39" s="114">
        <f t="shared" si="12"/>
        <v>5005</v>
      </c>
      <c r="V39" s="114">
        <f t="shared" ref="V39" si="14">SUM(V5:V30)</f>
        <v>2581</v>
      </c>
      <c r="W39" s="114">
        <f t="shared" si="12"/>
        <v>208</v>
      </c>
      <c r="X39" s="136">
        <f t="shared" si="12"/>
        <v>124</v>
      </c>
      <c r="Z39" s="113">
        <f t="shared" si="12"/>
        <v>607116388</v>
      </c>
      <c r="AA39" s="114">
        <f t="shared" si="12"/>
        <v>265698227</v>
      </c>
      <c r="AB39" s="114"/>
      <c r="AC39" s="113">
        <f t="shared" si="12"/>
        <v>382680226</v>
      </c>
      <c r="AD39" s="114">
        <f t="shared" si="12"/>
        <v>187631547</v>
      </c>
      <c r="AE39" s="134">
        <f t="shared" si="12"/>
        <v>570311773</v>
      </c>
      <c r="AG39" s="113">
        <f t="shared" si="12"/>
        <v>49425</v>
      </c>
      <c r="AH39" s="114">
        <f t="shared" si="12"/>
        <v>22435</v>
      </c>
      <c r="AI39" s="114">
        <f t="shared" si="12"/>
        <v>86367</v>
      </c>
      <c r="AJ39" s="136">
        <f t="shared" si="12"/>
        <v>8442</v>
      </c>
      <c r="AL39" s="113">
        <f t="shared" ref="AL39:AV39" si="15">SUM(AL5:AL30)</f>
        <v>363.58333333333331</v>
      </c>
      <c r="AM39" s="114">
        <f t="shared" si="15"/>
        <v>1668.25</v>
      </c>
      <c r="AN39" s="134">
        <f t="shared" si="15"/>
        <v>2035</v>
      </c>
      <c r="AO39" s="114">
        <f t="shared" si="15"/>
        <v>1297.95</v>
      </c>
      <c r="AP39" s="114">
        <f t="shared" si="15"/>
        <v>186.15</v>
      </c>
      <c r="AQ39" s="134">
        <f t="shared" si="15"/>
        <v>1485</v>
      </c>
      <c r="AR39" s="114">
        <f t="shared" si="15"/>
        <v>1884.3713768115945</v>
      </c>
      <c r="AS39" s="114">
        <f t="shared" si="15"/>
        <v>905.17487259472557</v>
      </c>
      <c r="AT39" s="114">
        <f t="shared" si="15"/>
        <v>1678.874869738105</v>
      </c>
      <c r="AU39" s="114">
        <f t="shared" si="15"/>
        <v>271.6238733488733</v>
      </c>
      <c r="AV39" s="136">
        <f t="shared" si="15"/>
        <v>3249.0147030257326</v>
      </c>
      <c r="AW39"/>
      <c r="AX39" s="356"/>
      <c r="AY39"/>
      <c r="BA39" s="113">
        <f t="shared" ref="BA39:BM39" si="16">SUM(BA5:BA30)</f>
        <v>41422</v>
      </c>
      <c r="BB39" s="114">
        <f t="shared" si="16"/>
        <v>764008373.74999988</v>
      </c>
      <c r="BC39" s="114">
        <f t="shared" si="16"/>
        <v>168818130.78441557</v>
      </c>
      <c r="BD39" s="114"/>
      <c r="BE39" s="114">
        <f t="shared" si="16"/>
        <v>17481</v>
      </c>
      <c r="BF39" s="114">
        <f t="shared" si="16"/>
        <v>1309</v>
      </c>
      <c r="BG39" s="114">
        <f t="shared" si="16"/>
        <v>730</v>
      </c>
      <c r="BH39" s="114"/>
      <c r="BI39" s="114">
        <f t="shared" si="16"/>
        <v>48920151.566666663</v>
      </c>
      <c r="BJ39" s="114"/>
      <c r="BK39" s="114"/>
      <c r="BL39" s="114">
        <f t="shared" ref="BL39" si="17">SUM(BL5:BL30)</f>
        <v>409.08333333333343</v>
      </c>
      <c r="BM39" s="136">
        <f t="shared" si="16"/>
        <v>45918</v>
      </c>
      <c r="BO39" s="113">
        <f>SUM(BO5:BO30)</f>
        <v>270</v>
      </c>
      <c r="BP39" s="136">
        <f>SUM(BP5:BP30)</f>
        <v>2995.0757575757571</v>
      </c>
      <c r="BR39" s="238"/>
      <c r="BS39" s="137"/>
      <c r="BT39" s="239"/>
      <c r="BV39" s="113">
        <f t="shared" ref="BV39:CM39" si="18">SUM(BV5:BV30)</f>
        <v>688</v>
      </c>
      <c r="BW39" s="114">
        <f t="shared" si="18"/>
        <v>587</v>
      </c>
      <c r="BX39" s="114">
        <f t="shared" si="18"/>
        <v>355</v>
      </c>
      <c r="BY39" s="114">
        <f t="shared" si="18"/>
        <v>7</v>
      </c>
      <c r="BZ39" s="114">
        <f t="shared" si="18"/>
        <v>15</v>
      </c>
      <c r="CA39" s="114">
        <f t="shared" si="18"/>
        <v>50</v>
      </c>
      <c r="CB39" s="114">
        <f t="shared" si="18"/>
        <v>13</v>
      </c>
      <c r="CC39" s="114"/>
      <c r="CD39" s="114">
        <f t="shared" si="18"/>
        <v>1685</v>
      </c>
      <c r="CE39" s="114">
        <f t="shared" si="18"/>
        <v>152</v>
      </c>
      <c r="CF39" s="114">
        <f t="shared" si="18"/>
        <v>152</v>
      </c>
      <c r="CG39" s="114">
        <f t="shared" si="18"/>
        <v>207</v>
      </c>
      <c r="CH39" s="114">
        <f t="shared" si="18"/>
        <v>53</v>
      </c>
      <c r="CI39" s="114">
        <f t="shared" si="18"/>
        <v>1259</v>
      </c>
      <c r="CJ39" s="114">
        <f t="shared" si="18"/>
        <v>2152</v>
      </c>
      <c r="CK39" s="114"/>
      <c r="CL39" s="114"/>
      <c r="CM39" s="114">
        <f t="shared" si="18"/>
        <v>229</v>
      </c>
      <c r="CN39" s="114">
        <f t="shared" ref="CN39:DU39" si="19">SUM(CN5:CN30)</f>
        <v>71</v>
      </c>
      <c r="CO39" s="114">
        <f t="shared" si="19"/>
        <v>2011</v>
      </c>
      <c r="CP39" s="114"/>
      <c r="CQ39" s="114">
        <f t="shared" si="19"/>
        <v>26</v>
      </c>
      <c r="CR39" s="114"/>
      <c r="CS39" s="114">
        <f t="shared" si="19"/>
        <v>375</v>
      </c>
      <c r="CT39" s="114">
        <f t="shared" si="19"/>
        <v>1618</v>
      </c>
      <c r="CU39" s="114">
        <f t="shared" si="19"/>
        <v>350</v>
      </c>
      <c r="CV39" s="114">
        <f t="shared" si="19"/>
        <v>882</v>
      </c>
      <c r="CW39" s="114">
        <f t="shared" si="19"/>
        <v>10</v>
      </c>
      <c r="CX39" s="114"/>
      <c r="CY39" s="114">
        <f t="shared" si="19"/>
        <v>334</v>
      </c>
      <c r="CZ39" s="114">
        <f t="shared" si="19"/>
        <v>12</v>
      </c>
      <c r="DA39" s="114">
        <f t="shared" si="19"/>
        <v>28</v>
      </c>
      <c r="DB39" s="114">
        <f t="shared" si="19"/>
        <v>1877</v>
      </c>
      <c r="DC39" s="114">
        <f t="shared" si="19"/>
        <v>128</v>
      </c>
      <c r="DD39" s="114">
        <f t="shared" si="19"/>
        <v>17</v>
      </c>
      <c r="DE39" s="114">
        <f t="shared" si="19"/>
        <v>5</v>
      </c>
      <c r="DF39" s="114">
        <f t="shared" si="19"/>
        <v>4</v>
      </c>
      <c r="DG39" s="114">
        <f t="shared" si="19"/>
        <v>739</v>
      </c>
      <c r="DH39" s="114">
        <f t="shared" si="19"/>
        <v>272</v>
      </c>
      <c r="DI39" s="114">
        <f t="shared" si="19"/>
        <v>288</v>
      </c>
      <c r="DJ39" s="114">
        <f t="shared" si="19"/>
        <v>142</v>
      </c>
      <c r="DK39" s="114"/>
      <c r="DL39" s="114">
        <f t="shared" si="19"/>
        <v>15</v>
      </c>
      <c r="DM39" s="114">
        <f t="shared" si="19"/>
        <v>828</v>
      </c>
      <c r="DN39" s="114">
        <f t="shared" si="19"/>
        <v>34</v>
      </c>
      <c r="DO39" s="114">
        <f t="shared" si="19"/>
        <v>494</v>
      </c>
      <c r="DP39" s="114">
        <f t="shared" si="19"/>
        <v>12</v>
      </c>
      <c r="DQ39" s="114">
        <f t="shared" si="19"/>
        <v>4</v>
      </c>
      <c r="DR39" s="114"/>
      <c r="DS39" s="114">
        <f t="shared" si="19"/>
        <v>495</v>
      </c>
      <c r="DT39" s="114">
        <f t="shared" si="19"/>
        <v>442</v>
      </c>
      <c r="DU39" s="114">
        <f t="shared" si="19"/>
        <v>105</v>
      </c>
      <c r="DV39" s="136">
        <f>SUM(BV39:DU39)</f>
        <v>19222</v>
      </c>
      <c r="DW39" s="128"/>
    </row>
    <row r="40" spans="1:129" s="111" customFormat="1" ht="12.75" thickTop="1" thickBot="1">
      <c r="A40" s="138" t="s">
        <v>125</v>
      </c>
      <c r="B40" s="182"/>
      <c r="C40" s="115">
        <f t="shared" ref="C40:R40" si="20">ROUND(IF(ISERROR(AVERAGE(C5:C30)),0,AVERAGE(C5:C30)),0)</f>
        <v>81</v>
      </c>
      <c r="D40" s="116">
        <f t="shared" si="20"/>
        <v>428</v>
      </c>
      <c r="E40" s="116">
        <f t="shared" si="20"/>
        <v>46</v>
      </c>
      <c r="F40" s="116">
        <f t="shared" si="20"/>
        <v>14</v>
      </c>
      <c r="G40" s="116">
        <f t="shared" si="20"/>
        <v>37</v>
      </c>
      <c r="H40" s="116">
        <f t="shared" si="20"/>
        <v>26</v>
      </c>
      <c r="I40" s="116">
        <f>ROUND(IF(ISERROR(AVERAGE(I5:I30)),0,AVERAGE(I5:I30)),0)</f>
        <v>0</v>
      </c>
      <c r="J40" s="116">
        <f t="shared" ref="J40:O40" si="21">ROUND(IF(ISERROR(AVERAGE(J5:J30)),0,AVERAGE(J5:J30)),0)</f>
        <v>260</v>
      </c>
      <c r="K40" s="116">
        <f t="shared" si="21"/>
        <v>9</v>
      </c>
      <c r="L40" s="116">
        <f t="shared" si="21"/>
        <v>4</v>
      </c>
      <c r="M40" s="116">
        <f t="shared" si="21"/>
        <v>0</v>
      </c>
      <c r="N40" s="116">
        <f t="shared" si="21"/>
        <v>0</v>
      </c>
      <c r="O40" s="116">
        <f t="shared" si="21"/>
        <v>227</v>
      </c>
      <c r="P40" s="116">
        <f t="shared" si="20"/>
        <v>19</v>
      </c>
      <c r="Q40" s="116">
        <f t="shared" si="20"/>
        <v>3</v>
      </c>
      <c r="R40" s="117">
        <f t="shared" si="20"/>
        <v>4</v>
      </c>
      <c r="S40" s="139">
        <f>SUM(C40:R40)</f>
        <v>1158</v>
      </c>
      <c r="T40" s="116">
        <f>ROUND(IF(ISERROR(AVERAGE(T5:T30)),0,AVERAGE(T5:T30)),0)</f>
        <v>33</v>
      </c>
      <c r="U40" s="116">
        <f>ROUND(IF(ISERROR(AVERAGE(U5:U30)),0,AVERAGE(U5:U30)),0)</f>
        <v>193</v>
      </c>
      <c r="V40" s="116">
        <f>ROUND(IF(ISERROR(AVERAGE(V5:V30)),0,AVERAGE(V5:V30)),0)</f>
        <v>99</v>
      </c>
      <c r="W40" s="116">
        <f>ROUND(IF(ISERROR(AVERAGE(W5:W30)),0,AVERAGE(W5:W30)),0)</f>
        <v>8</v>
      </c>
      <c r="X40" s="117">
        <f>ROUND(IF(ISERROR(AVERAGE(X5:X30)),0,AVERAGE(X5:X30)),0)</f>
        <v>5</v>
      </c>
      <c r="Y40" s="118"/>
      <c r="Z40" s="115">
        <f>ROUND(IF(ISERROR(AVERAGE(Z5:Z30)),0,AVERAGE(Z5:Z30)),0)</f>
        <v>31953494</v>
      </c>
      <c r="AA40" s="116">
        <f>ROUND(IF(ISERROR(AVERAGE(AA5:AA30)),0,AVERAGE(AA5:AA30)),0)</f>
        <v>12077192</v>
      </c>
      <c r="AB40" s="116"/>
      <c r="AC40" s="115">
        <f>ROUND(IF(ISERROR(AVERAGE(AC5:AC30)),0,AVERAGE(AC5:AC30)),0)</f>
        <v>21260013</v>
      </c>
      <c r="AD40" s="116">
        <f>ROUND(IF(ISERROR(AVERAGE(AD5:AD30)),0,AVERAGE(AD5:AD30)),0)</f>
        <v>10423975</v>
      </c>
      <c r="AE40" s="139">
        <f>SUM(AC40:AD40)</f>
        <v>31683988</v>
      </c>
      <c r="AF40" s="118"/>
      <c r="AG40" s="115">
        <f>ROUND(IF(ISERROR(AVERAGE(AG5:AG30)),0,AVERAGE(AG5:AG30)),0)</f>
        <v>1901</v>
      </c>
      <c r="AH40" s="116">
        <f>ROUND(IF(ISERROR(AVERAGE(AH5:AH30)),0,AVERAGE(AH5:AH30)),0)</f>
        <v>863</v>
      </c>
      <c r="AI40" s="116">
        <f>ROUND(IF(ISERROR(AVERAGE(AI5:AI30)),0,AVERAGE(AI5:AI30)),0)</f>
        <v>3322</v>
      </c>
      <c r="AJ40" s="117">
        <f>ROUND(IF(ISERROR(AVERAGE(AJ5:AJ30)),0,AVERAGE(AJ5:AJ30)),0)</f>
        <v>325</v>
      </c>
      <c r="AK40" s="118"/>
      <c r="AL40" s="115">
        <f>ROUND(IF(ISERROR(AVERAGE(AL5:AL30)),0,AVERAGE(AL5:AL30)),0)</f>
        <v>17</v>
      </c>
      <c r="AM40" s="116">
        <f>ROUND(IF(ISERROR(AVERAGE(AM5:AM30)),0,AVERAGE(AM5:AM30)),0)</f>
        <v>79</v>
      </c>
      <c r="AN40" s="139">
        <f>SUM(AL40:AM40)</f>
        <v>96</v>
      </c>
      <c r="AO40" s="116">
        <f>ROUND(IF(ISERROR(AVERAGE(AO5:AO30)),0,AVERAGE(AO5:AO30)),0)</f>
        <v>130</v>
      </c>
      <c r="AP40" s="116">
        <f>ROUND(IF(ISERROR(AVERAGE(AP5:AP30)),0,AVERAGE(AP5:AP30)),0)</f>
        <v>19</v>
      </c>
      <c r="AQ40" s="139">
        <f>SUM(AO40:AP40)</f>
        <v>149</v>
      </c>
      <c r="AR40" s="116">
        <f>ROUND(IF(ISERROR(AVERAGE(AR5:AR30)),0,AVERAGE(AR5:AR30)),0)</f>
        <v>145</v>
      </c>
      <c r="AS40" s="116">
        <f>ROUND(IF(ISERROR(AVERAGE(AS5:AS30)),0,AVERAGE(AS5:AS30)),0)</f>
        <v>65</v>
      </c>
      <c r="AT40" s="116">
        <f>ROUND(IF(ISERROR(AVERAGE(AT5:AT30)),0,AVERAGE(AT5:AT30)),0)</f>
        <v>120</v>
      </c>
      <c r="AU40" s="116">
        <f>ROUND(IF(ISERROR(AVERAGE(AU5:AU30)),0,AVERAGE(AU5:AU30)),0)</f>
        <v>21</v>
      </c>
      <c r="AV40" s="117">
        <f>ROUND(IF(ISERROR(AVERAGE(AV5:AV30)),0,AVERAGE(AV5:AV30)),0)</f>
        <v>232</v>
      </c>
      <c r="AW40"/>
      <c r="AX40" s="356"/>
      <c r="AY40"/>
      <c r="AZ40" s="118"/>
      <c r="BA40" s="115">
        <f t="shared" ref="BA40:BM40" si="22">ROUND(IF(ISERROR(AVERAGE(BA5:BA30)),0,AVERAGE(BA5:BA30)),0)</f>
        <v>1726</v>
      </c>
      <c r="BB40" s="116">
        <f t="shared" si="22"/>
        <v>42444910</v>
      </c>
      <c r="BC40" s="116">
        <f t="shared" si="22"/>
        <v>18757570</v>
      </c>
      <c r="BD40" s="116"/>
      <c r="BE40" s="116">
        <f t="shared" si="22"/>
        <v>874</v>
      </c>
      <c r="BF40" s="116">
        <f t="shared" si="22"/>
        <v>65</v>
      </c>
      <c r="BG40" s="116">
        <f t="shared" si="22"/>
        <v>37</v>
      </c>
      <c r="BH40" s="116"/>
      <c r="BI40" s="116">
        <f t="shared" si="22"/>
        <v>2717786</v>
      </c>
      <c r="BJ40" s="116"/>
      <c r="BK40" s="116"/>
      <c r="BL40" s="116">
        <f t="shared" ref="BL40" si="23">ROUND(IF(ISERROR(AVERAGE(BL5:BL30)),0,AVERAGE(BL5:BL30)),0)</f>
        <v>34</v>
      </c>
      <c r="BM40" s="117">
        <f t="shared" si="22"/>
        <v>1766</v>
      </c>
      <c r="BN40" s="118"/>
      <c r="BO40" s="115">
        <f>ROUND(IF(ISERROR(AVERAGE(BO5:BO30)),0,AVERAGE(BO5:BO30)),0)</f>
        <v>270</v>
      </c>
      <c r="BP40" s="117">
        <f>ROUND(IF(ISERROR(AVERAGE(BP5:BP30)),0,AVERAGE(BP5:BP30)),0)</f>
        <v>158</v>
      </c>
      <c r="BQ40" s="118"/>
      <c r="BR40" s="240"/>
      <c r="BS40" s="140"/>
      <c r="BT40" s="241"/>
      <c r="BU40" s="118"/>
      <c r="BV40" s="115">
        <f t="shared" ref="BV40:CM40" si="24">ROUND(IF(ISERROR(AVERAGE(BV5:BV30)),0,AVERAGE(BV5:BV30)),0)</f>
        <v>26</v>
      </c>
      <c r="BW40" s="116">
        <f t="shared" si="24"/>
        <v>23</v>
      </c>
      <c r="BX40" s="116">
        <f t="shared" si="24"/>
        <v>14</v>
      </c>
      <c r="BY40" s="116">
        <f t="shared" si="24"/>
        <v>0</v>
      </c>
      <c r="BZ40" s="116">
        <f t="shared" si="24"/>
        <v>1</v>
      </c>
      <c r="CA40" s="116">
        <f t="shared" si="24"/>
        <v>2</v>
      </c>
      <c r="CB40" s="116">
        <f t="shared" si="24"/>
        <v>1</v>
      </c>
      <c r="CC40" s="116"/>
      <c r="CD40" s="116">
        <f t="shared" si="24"/>
        <v>65</v>
      </c>
      <c r="CE40" s="116">
        <f t="shared" si="24"/>
        <v>6</v>
      </c>
      <c r="CF40" s="116">
        <f t="shared" si="24"/>
        <v>6</v>
      </c>
      <c r="CG40" s="116">
        <f t="shared" si="24"/>
        <v>8</v>
      </c>
      <c r="CH40" s="116">
        <f t="shared" si="24"/>
        <v>2</v>
      </c>
      <c r="CI40" s="116">
        <f t="shared" si="24"/>
        <v>48</v>
      </c>
      <c r="CJ40" s="116">
        <f t="shared" si="24"/>
        <v>83</v>
      </c>
      <c r="CK40" s="116"/>
      <c r="CL40" s="116"/>
      <c r="CM40" s="116">
        <f t="shared" si="24"/>
        <v>9</v>
      </c>
      <c r="CN40" s="116">
        <f t="shared" ref="CN40:DU40" si="25">ROUND(IF(ISERROR(AVERAGE(CN5:CN30)),0,AVERAGE(CN5:CN30)),0)</f>
        <v>3</v>
      </c>
      <c r="CO40" s="116">
        <f t="shared" si="25"/>
        <v>77</v>
      </c>
      <c r="CP40" s="116"/>
      <c r="CQ40" s="116">
        <f t="shared" si="25"/>
        <v>1</v>
      </c>
      <c r="CR40" s="116"/>
      <c r="CS40" s="116">
        <f t="shared" si="25"/>
        <v>14</v>
      </c>
      <c r="CT40" s="116">
        <f t="shared" si="25"/>
        <v>62</v>
      </c>
      <c r="CU40" s="116">
        <f t="shared" si="25"/>
        <v>13</v>
      </c>
      <c r="CV40" s="116">
        <f t="shared" si="25"/>
        <v>34</v>
      </c>
      <c r="CW40" s="116">
        <f t="shared" si="25"/>
        <v>0</v>
      </c>
      <c r="CX40" s="116"/>
      <c r="CY40" s="116">
        <f t="shared" si="25"/>
        <v>13</v>
      </c>
      <c r="CZ40" s="116">
        <f t="shared" si="25"/>
        <v>0</v>
      </c>
      <c r="DA40" s="116">
        <f t="shared" si="25"/>
        <v>1</v>
      </c>
      <c r="DB40" s="116">
        <f t="shared" si="25"/>
        <v>72</v>
      </c>
      <c r="DC40" s="116">
        <f t="shared" si="25"/>
        <v>5</v>
      </c>
      <c r="DD40" s="116">
        <f t="shared" si="25"/>
        <v>1</v>
      </c>
      <c r="DE40" s="116">
        <f t="shared" si="25"/>
        <v>0</v>
      </c>
      <c r="DF40" s="116">
        <f t="shared" si="25"/>
        <v>0</v>
      </c>
      <c r="DG40" s="116">
        <f t="shared" si="25"/>
        <v>28</v>
      </c>
      <c r="DH40" s="116">
        <f t="shared" si="25"/>
        <v>10</v>
      </c>
      <c r="DI40" s="116">
        <f t="shared" si="25"/>
        <v>11</v>
      </c>
      <c r="DJ40" s="116">
        <f t="shared" si="25"/>
        <v>5</v>
      </c>
      <c r="DK40" s="116"/>
      <c r="DL40" s="116">
        <f t="shared" si="25"/>
        <v>1</v>
      </c>
      <c r="DM40" s="116">
        <f t="shared" si="25"/>
        <v>32</v>
      </c>
      <c r="DN40" s="116">
        <f t="shared" si="25"/>
        <v>1</v>
      </c>
      <c r="DO40" s="116">
        <f t="shared" si="25"/>
        <v>19</v>
      </c>
      <c r="DP40" s="116">
        <f t="shared" si="25"/>
        <v>0</v>
      </c>
      <c r="DQ40" s="116">
        <f t="shared" si="25"/>
        <v>0</v>
      </c>
      <c r="DR40" s="116"/>
      <c r="DS40" s="116">
        <f t="shared" si="25"/>
        <v>19</v>
      </c>
      <c r="DT40" s="116">
        <f t="shared" si="25"/>
        <v>17</v>
      </c>
      <c r="DU40" s="116">
        <f t="shared" si="25"/>
        <v>4</v>
      </c>
      <c r="DV40" s="141"/>
      <c r="DW40" s="142"/>
    </row>
    <row r="41" spans="1:129" s="111" customFormat="1">
      <c r="A41" s="143"/>
      <c r="B41" s="143"/>
      <c r="C41" s="266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8"/>
      <c r="T41" s="269"/>
      <c r="U41" s="269"/>
      <c r="V41" s="269"/>
      <c r="W41" s="267"/>
      <c r="X41" s="270"/>
      <c r="Z41" s="266"/>
      <c r="AA41" s="267"/>
      <c r="AB41" s="267"/>
      <c r="AC41" s="266"/>
      <c r="AD41" s="267"/>
      <c r="AE41" s="187"/>
      <c r="AG41" s="266"/>
      <c r="AH41" s="267"/>
      <c r="AI41" s="186"/>
      <c r="AJ41" s="187"/>
      <c r="AL41" s="185"/>
      <c r="AM41" s="186"/>
      <c r="AN41" s="132"/>
      <c r="AO41" s="186"/>
      <c r="AP41" s="186"/>
      <c r="AQ41" s="132"/>
      <c r="AR41" s="186"/>
      <c r="AS41" s="186"/>
      <c r="AT41" s="186"/>
      <c r="AU41" s="186"/>
      <c r="AV41" s="187"/>
      <c r="AW41"/>
      <c r="AX41" s="356"/>
      <c r="AY41"/>
      <c r="BA41" s="185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7"/>
      <c r="BO41" s="185"/>
      <c r="BP41" s="187"/>
      <c r="BR41" s="255"/>
      <c r="BS41" s="256"/>
      <c r="BT41" s="257"/>
      <c r="BV41" s="185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7"/>
    </row>
    <row r="42" spans="1:129" customFormat="1" ht="12" thickBot="1">
      <c r="V42" s="298"/>
      <c r="AX42" s="356"/>
      <c r="BD42" s="318"/>
      <c r="BH42" s="356"/>
      <c r="BJ42" s="298"/>
      <c r="BK42" s="298"/>
      <c r="BL42" s="298"/>
      <c r="CC42" s="356"/>
      <c r="CK42" s="356"/>
      <c r="CL42" s="318"/>
      <c r="CP42" s="318"/>
      <c r="CR42" s="356"/>
      <c r="CX42" s="318"/>
      <c r="DK42" s="318"/>
      <c r="DR42" s="356"/>
    </row>
    <row r="43" spans="1:129" s="111" customFormat="1" ht="22.5">
      <c r="A43" s="259" t="s">
        <v>128</v>
      </c>
      <c r="B43" s="225"/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6"/>
      <c r="T43" s="147"/>
      <c r="U43" s="147"/>
      <c r="V43" s="147"/>
      <c r="W43" s="145"/>
      <c r="X43" s="148"/>
      <c r="Y43" s="149"/>
      <c r="Z43" s="144"/>
      <c r="AA43" s="145"/>
      <c r="AB43" s="145"/>
      <c r="AC43" s="144"/>
      <c r="AD43" s="145"/>
      <c r="AE43" s="150"/>
      <c r="AF43" s="149"/>
      <c r="AG43" s="144"/>
      <c r="AH43" s="145"/>
      <c r="AI43" s="149"/>
      <c r="AJ43" s="151"/>
      <c r="AK43" s="149"/>
      <c r="AL43" s="152"/>
      <c r="AM43" s="149"/>
      <c r="AN43" s="153"/>
      <c r="AO43" s="149"/>
      <c r="AP43" s="149"/>
      <c r="AQ43" s="153"/>
      <c r="AR43" s="149"/>
      <c r="AS43" s="149"/>
      <c r="AT43" s="149"/>
      <c r="AU43" s="149"/>
      <c r="AV43" s="151"/>
      <c r="AW43"/>
      <c r="AX43" s="356"/>
      <c r="AY43"/>
      <c r="AZ43" s="149"/>
      <c r="BA43" s="152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51"/>
      <c r="BN43" s="149"/>
      <c r="BO43" s="152"/>
      <c r="BP43" s="151"/>
      <c r="BQ43" s="149"/>
      <c r="BR43" s="242"/>
      <c r="BS43" s="154"/>
      <c r="BT43" s="243"/>
      <c r="BU43" s="149"/>
      <c r="BV43" s="152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O43" s="149"/>
      <c r="DP43" s="149"/>
      <c r="DQ43" s="149"/>
      <c r="DR43" s="149"/>
      <c r="DS43" s="149"/>
      <c r="DT43" s="149"/>
      <c r="DU43" s="149"/>
      <c r="DV43" s="151"/>
      <c r="DW43" s="155"/>
    </row>
    <row r="44" spans="1:129" s="1" customFormat="1">
      <c r="A44" s="2"/>
      <c r="B44" s="2"/>
      <c r="C44" s="370" t="s">
        <v>0</v>
      </c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2"/>
      <c r="Y44" s="356"/>
      <c r="Z44" s="373" t="s">
        <v>151</v>
      </c>
      <c r="AA44" s="375"/>
      <c r="AB44" s="375"/>
      <c r="AC44" s="375"/>
      <c r="AD44" s="375"/>
      <c r="AE44" s="374"/>
      <c r="AF44" s="356"/>
      <c r="AG44" s="370" t="s">
        <v>1</v>
      </c>
      <c r="AH44" s="371"/>
      <c r="AI44" s="371"/>
      <c r="AJ44" s="372"/>
      <c r="AK44" s="356"/>
      <c r="AL44" s="373" t="s">
        <v>150</v>
      </c>
      <c r="AM44" s="375"/>
      <c r="AN44" s="375"/>
      <c r="AO44" s="375"/>
      <c r="AP44" s="375"/>
      <c r="AQ44" s="375"/>
      <c r="AR44" s="375"/>
      <c r="AS44" s="375"/>
      <c r="AT44" s="375"/>
      <c r="AU44" s="375"/>
      <c r="AV44" s="374"/>
      <c r="AW44" s="356"/>
      <c r="AX44" s="373" t="s">
        <v>301</v>
      </c>
      <c r="AY44" s="374"/>
      <c r="AZ44" s="356"/>
      <c r="BA44" s="370" t="s">
        <v>2</v>
      </c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2"/>
      <c r="BN44" s="356"/>
      <c r="BO44" s="373" t="s">
        <v>3</v>
      </c>
      <c r="BP44" s="374"/>
      <c r="BQ44" s="356"/>
      <c r="BR44" s="373" t="s">
        <v>148</v>
      </c>
      <c r="BS44" s="375"/>
      <c r="BT44" s="374"/>
      <c r="BU44" s="356"/>
      <c r="BV44" s="373" t="s">
        <v>4</v>
      </c>
      <c r="BW44" s="375"/>
      <c r="BX44" s="375"/>
      <c r="BY44" s="375"/>
      <c r="BZ44" s="375"/>
      <c r="CA44" s="375"/>
      <c r="CB44" s="375"/>
      <c r="CC44" s="375"/>
      <c r="CD44" s="375"/>
      <c r="CE44" s="375"/>
      <c r="CF44" s="375"/>
      <c r="CG44" s="375"/>
      <c r="CH44" s="375"/>
      <c r="CI44" s="375"/>
      <c r="CJ44" s="375"/>
      <c r="CK44" s="375"/>
      <c r="CL44" s="375"/>
      <c r="CM44" s="375"/>
      <c r="CN44" s="375"/>
      <c r="CO44" s="375"/>
      <c r="CP44" s="375"/>
      <c r="CQ44" s="375"/>
      <c r="CR44" s="375"/>
      <c r="CS44" s="375"/>
      <c r="CT44" s="375"/>
      <c r="CU44" s="375"/>
      <c r="CV44" s="375"/>
      <c r="CW44" s="375"/>
      <c r="CX44" s="375"/>
      <c r="CY44" s="375"/>
      <c r="CZ44" s="375"/>
      <c r="DA44" s="375"/>
      <c r="DB44" s="375"/>
      <c r="DC44" s="375"/>
      <c r="DD44" s="375"/>
      <c r="DE44" s="375"/>
      <c r="DF44" s="375"/>
      <c r="DG44" s="375"/>
      <c r="DH44" s="375"/>
      <c r="DI44" s="375"/>
      <c r="DJ44" s="375"/>
      <c r="DK44" s="375"/>
      <c r="DL44" s="375"/>
      <c r="DM44" s="375"/>
      <c r="DN44" s="375"/>
      <c r="DO44" s="375"/>
      <c r="DP44" s="375"/>
      <c r="DQ44" s="375"/>
      <c r="DR44" s="375"/>
      <c r="DS44" s="375"/>
      <c r="DT44" s="375"/>
      <c r="DU44" s="375"/>
      <c r="DV44" s="374"/>
      <c r="DW44" s="356"/>
      <c r="DX44" s="356"/>
      <c r="DY44" s="356"/>
    </row>
    <row r="45" spans="1:129" s="106" customFormat="1" ht="90.75" thickBot="1">
      <c r="A45" s="204" t="s">
        <v>5</v>
      </c>
      <c r="C45" s="199" t="s">
        <v>263</v>
      </c>
      <c r="D45" s="200" t="s">
        <v>264</v>
      </c>
      <c r="E45" s="200" t="s">
        <v>265</v>
      </c>
      <c r="F45" s="200" t="s">
        <v>266</v>
      </c>
      <c r="G45" s="200" t="s">
        <v>267</v>
      </c>
      <c r="H45" s="200" t="s">
        <v>268</v>
      </c>
      <c r="I45" s="200" t="s">
        <v>272</v>
      </c>
      <c r="J45" s="200" t="s">
        <v>269</v>
      </c>
      <c r="K45" s="200" t="s">
        <v>273</v>
      </c>
      <c r="L45" s="200" t="s">
        <v>271</v>
      </c>
      <c r="M45" s="201" t="s">
        <v>261</v>
      </c>
      <c r="N45" s="201" t="s">
        <v>262</v>
      </c>
      <c r="O45" s="200" t="s">
        <v>270</v>
      </c>
      <c r="P45" s="200" t="s">
        <v>6</v>
      </c>
      <c r="Q45" s="200" t="s">
        <v>7</v>
      </c>
      <c r="R45" s="200" t="s">
        <v>8</v>
      </c>
      <c r="S45" s="217" t="s">
        <v>9</v>
      </c>
      <c r="T45" s="200" t="s">
        <v>10</v>
      </c>
      <c r="U45" s="200" t="s">
        <v>189</v>
      </c>
      <c r="V45" s="312" t="s">
        <v>279</v>
      </c>
      <c r="W45" s="200" t="s">
        <v>11</v>
      </c>
      <c r="X45" s="202" t="s">
        <v>12</v>
      </c>
      <c r="Y45" s="118"/>
      <c r="Z45" s="203" t="s">
        <v>290</v>
      </c>
      <c r="AA45" s="271" t="s">
        <v>146</v>
      </c>
      <c r="AB45" s="204"/>
      <c r="AC45" s="203" t="s">
        <v>171</v>
      </c>
      <c r="AD45" s="204" t="s">
        <v>145</v>
      </c>
      <c r="AE45" s="218" t="s">
        <v>147</v>
      </c>
      <c r="AF45" s="118"/>
      <c r="AG45" s="203" t="s">
        <v>13</v>
      </c>
      <c r="AH45" s="204" t="s">
        <v>14</v>
      </c>
      <c r="AI45" s="204" t="s">
        <v>15</v>
      </c>
      <c r="AJ45" s="205" t="s">
        <v>16</v>
      </c>
      <c r="AK45" s="118"/>
      <c r="AL45" s="203" t="s">
        <v>204</v>
      </c>
      <c r="AM45" s="204" t="s">
        <v>159</v>
      </c>
      <c r="AN45" s="218" t="s">
        <v>17</v>
      </c>
      <c r="AO45" s="204" t="s">
        <v>160</v>
      </c>
      <c r="AP45" s="204" t="s">
        <v>161</v>
      </c>
      <c r="AQ45" s="218" t="s">
        <v>18</v>
      </c>
      <c r="AR45" s="204" t="s">
        <v>149</v>
      </c>
      <c r="AS45" s="204" t="s">
        <v>162</v>
      </c>
      <c r="AT45" s="204" t="s">
        <v>163</v>
      </c>
      <c r="AU45" s="204" t="s">
        <v>164</v>
      </c>
      <c r="AV45" s="205" t="s">
        <v>158</v>
      </c>
      <c r="AW45" s="356"/>
      <c r="AX45" s="328" t="s">
        <v>299</v>
      </c>
      <c r="AY45" s="205" t="s">
        <v>300</v>
      </c>
      <c r="AZ45" s="118"/>
      <c r="BA45" s="203" t="s">
        <v>19</v>
      </c>
      <c r="BB45" s="204" t="s">
        <v>20</v>
      </c>
      <c r="BC45" s="204" t="s">
        <v>21</v>
      </c>
      <c r="BD45" s="204" t="s">
        <v>296</v>
      </c>
      <c r="BE45" s="204" t="s">
        <v>199</v>
      </c>
      <c r="BF45" s="204" t="s">
        <v>22</v>
      </c>
      <c r="BG45" s="204" t="s">
        <v>23</v>
      </c>
      <c r="BH45" s="349" t="s">
        <v>308</v>
      </c>
      <c r="BI45" s="204" t="s">
        <v>24</v>
      </c>
      <c r="BJ45" s="299" t="s">
        <v>288</v>
      </c>
      <c r="BK45" s="204" t="s">
        <v>286</v>
      </c>
      <c r="BL45" s="301" t="s">
        <v>287</v>
      </c>
      <c r="BM45" s="205" t="s">
        <v>25</v>
      </c>
      <c r="BN45" s="118"/>
      <c r="BO45" s="203" t="s">
        <v>26</v>
      </c>
      <c r="BP45" s="205" t="s">
        <v>27</v>
      </c>
      <c r="BQ45" s="118"/>
      <c r="BR45" s="203" t="s">
        <v>28</v>
      </c>
      <c r="BS45" s="204" t="s">
        <v>29</v>
      </c>
      <c r="BT45" s="205" t="s">
        <v>30</v>
      </c>
      <c r="BU45" s="118"/>
      <c r="BV45" s="203" t="s">
        <v>31</v>
      </c>
      <c r="BW45" s="204" t="s">
        <v>190</v>
      </c>
      <c r="BX45" s="204" t="s">
        <v>187</v>
      </c>
      <c r="BY45" s="204" t="s">
        <v>223</v>
      </c>
      <c r="BZ45" s="204" t="s">
        <v>233</v>
      </c>
      <c r="CA45" s="204" t="s">
        <v>230</v>
      </c>
      <c r="CB45" s="204" t="s">
        <v>247</v>
      </c>
      <c r="CC45" s="204" t="s">
        <v>306</v>
      </c>
      <c r="CD45" s="204" t="s">
        <v>32</v>
      </c>
      <c r="CE45" s="204" t="s">
        <v>213</v>
      </c>
      <c r="CF45" s="204" t="s">
        <v>33</v>
      </c>
      <c r="CG45" s="204" t="s">
        <v>34</v>
      </c>
      <c r="CH45" s="204" t="s">
        <v>234</v>
      </c>
      <c r="CI45" s="204" t="s">
        <v>35</v>
      </c>
      <c r="CJ45" s="204" t="s">
        <v>36</v>
      </c>
      <c r="CK45" s="204" t="s">
        <v>298</v>
      </c>
      <c r="CL45" s="204" t="s">
        <v>278</v>
      </c>
      <c r="CM45" s="204" t="s">
        <v>37</v>
      </c>
      <c r="CN45" s="204" t="s">
        <v>226</v>
      </c>
      <c r="CO45" s="204" t="s">
        <v>38</v>
      </c>
      <c r="CP45" s="204" t="s">
        <v>295</v>
      </c>
      <c r="CQ45" s="204" t="s">
        <v>231</v>
      </c>
      <c r="CR45" s="204" t="s">
        <v>307</v>
      </c>
      <c r="CS45" s="204" t="s">
        <v>39</v>
      </c>
      <c r="CT45" s="204" t="s">
        <v>40</v>
      </c>
      <c r="CU45" s="204" t="s">
        <v>41</v>
      </c>
      <c r="CV45" s="204" t="s">
        <v>42</v>
      </c>
      <c r="CW45" s="204" t="s">
        <v>248</v>
      </c>
      <c r="CX45" s="204" t="s">
        <v>252</v>
      </c>
      <c r="CY45" s="204" t="s">
        <v>188</v>
      </c>
      <c r="CZ45" s="204" t="s">
        <v>229</v>
      </c>
      <c r="DA45" s="204" t="s">
        <v>225</v>
      </c>
      <c r="DB45" s="204" t="s">
        <v>43</v>
      </c>
      <c r="DC45" s="204" t="s">
        <v>227</v>
      </c>
      <c r="DD45" s="204" t="s">
        <v>232</v>
      </c>
      <c r="DE45" s="204" t="s">
        <v>224</v>
      </c>
      <c r="DF45" s="204" t="s">
        <v>228</v>
      </c>
      <c r="DG45" s="204" t="s">
        <v>44</v>
      </c>
      <c r="DH45" s="204" t="s">
        <v>45</v>
      </c>
      <c r="DI45" s="204" t="s">
        <v>46</v>
      </c>
      <c r="DJ45" s="204" t="s">
        <v>185</v>
      </c>
      <c r="DK45" s="204" t="s">
        <v>277</v>
      </c>
      <c r="DL45" s="204" t="s">
        <v>236</v>
      </c>
      <c r="DM45" s="204" t="s">
        <v>47</v>
      </c>
      <c r="DN45" s="204" t="s">
        <v>219</v>
      </c>
      <c r="DO45" s="204" t="s">
        <v>48</v>
      </c>
      <c r="DP45" s="204" t="s">
        <v>249</v>
      </c>
      <c r="DQ45" s="204" t="s">
        <v>235</v>
      </c>
      <c r="DR45" s="204" t="s">
        <v>297</v>
      </c>
      <c r="DS45" s="204" t="s">
        <v>186</v>
      </c>
      <c r="DT45" s="204" t="s">
        <v>200</v>
      </c>
      <c r="DU45" s="204" t="s">
        <v>191</v>
      </c>
      <c r="DV45" s="205" t="s">
        <v>49</v>
      </c>
      <c r="DW45" s="106" t="s">
        <v>50</v>
      </c>
      <c r="DX45" s="118"/>
    </row>
    <row r="46" spans="1:129" s="111" customFormat="1">
      <c r="A46" s="119">
        <v>1988</v>
      </c>
      <c r="B46" s="189"/>
      <c r="C46" s="107">
        <f t="shared" ref="C46:C51" si="26">C5</f>
        <v>178</v>
      </c>
      <c r="D46" s="108">
        <f t="shared" ref="D46:R46" si="27">D5</f>
        <v>313</v>
      </c>
      <c r="E46" s="108">
        <f t="shared" si="27"/>
        <v>33</v>
      </c>
      <c r="F46" s="108">
        <f t="shared" si="27"/>
        <v>41</v>
      </c>
      <c r="G46" s="108">
        <f t="shared" si="27"/>
        <v>24</v>
      </c>
      <c r="H46" s="108">
        <f t="shared" si="27"/>
        <v>56</v>
      </c>
      <c r="I46" s="108">
        <f t="shared" ref="I46:I70" si="28">I5</f>
        <v>0</v>
      </c>
      <c r="J46" s="108">
        <f t="shared" si="27"/>
        <v>0</v>
      </c>
      <c r="K46" s="108">
        <f t="shared" si="27"/>
        <v>0</v>
      </c>
      <c r="L46" s="108">
        <f t="shared" si="27"/>
        <v>0</v>
      </c>
      <c r="M46" s="108">
        <f t="shared" ref="M46:N46" si="29">M5</f>
        <v>0</v>
      </c>
      <c r="N46" s="108">
        <f t="shared" si="29"/>
        <v>0</v>
      </c>
      <c r="O46" s="108">
        <f t="shared" ref="O46:O70" si="30">O5</f>
        <v>70</v>
      </c>
      <c r="P46" s="108">
        <f t="shared" si="27"/>
        <v>0</v>
      </c>
      <c r="Q46" s="108">
        <f t="shared" si="27"/>
        <v>0</v>
      </c>
      <c r="R46" s="109">
        <f t="shared" si="27"/>
        <v>1</v>
      </c>
      <c r="S46" s="261">
        <f>SUM(C46:R46)</f>
        <v>716</v>
      </c>
      <c r="W46" s="111">
        <f t="shared" ref="T46:AD55" si="31">W5</f>
        <v>0</v>
      </c>
      <c r="X46" s="112">
        <f t="shared" si="31"/>
        <v>0</v>
      </c>
      <c r="Z46" s="110"/>
      <c r="AC46" s="110"/>
      <c r="AE46" s="120"/>
      <c r="AG46" s="110">
        <f t="shared" ref="AG46:AJ55" si="32">AG5</f>
        <v>815</v>
      </c>
      <c r="AH46" s="111">
        <f t="shared" si="32"/>
        <v>226</v>
      </c>
      <c r="AI46" s="157">
        <f t="shared" si="32"/>
        <v>3248</v>
      </c>
      <c r="AJ46" s="112">
        <f t="shared" si="32"/>
        <v>388</v>
      </c>
      <c r="AL46" s="158"/>
      <c r="AM46" s="159"/>
      <c r="AN46" s="120"/>
      <c r="AO46" s="122"/>
      <c r="AP46" s="122"/>
      <c r="AQ46" s="120"/>
      <c r="AR46" s="122"/>
      <c r="AS46" s="122"/>
      <c r="AT46" s="122"/>
      <c r="AU46" s="160"/>
      <c r="AV46" s="159"/>
      <c r="AW46"/>
      <c r="AX46" s="356"/>
      <c r="AY46"/>
      <c r="BA46" s="158">
        <f t="shared" ref="BA46:BM55" si="33">BA5</f>
        <v>1446</v>
      </c>
      <c r="BB46" s="160"/>
      <c r="BC46" s="160"/>
      <c r="BD46" s="122"/>
      <c r="BI46" s="122"/>
      <c r="BJ46" s="122"/>
      <c r="BK46" s="122"/>
      <c r="BL46" s="122"/>
      <c r="BM46" s="112">
        <f t="shared" si="33"/>
        <v>3613</v>
      </c>
      <c r="BO46" s="121">
        <f t="shared" ref="BO46:BP58" si="34">BO5</f>
        <v>0</v>
      </c>
      <c r="BP46" s="123">
        <f t="shared" si="34"/>
        <v>0</v>
      </c>
      <c r="BR46" s="236"/>
      <c r="BS46" s="126"/>
      <c r="BT46" s="237"/>
      <c r="BV46" s="110"/>
      <c r="DV46" s="127">
        <f>SUM(BV46:DU46)</f>
        <v>0</v>
      </c>
      <c r="DW46" s="128"/>
    </row>
    <row r="47" spans="1:129" s="111" customFormat="1">
      <c r="A47" s="119">
        <v>1989</v>
      </c>
      <c r="B47" s="189"/>
      <c r="C47" s="110">
        <f t="shared" si="26"/>
        <v>137</v>
      </c>
      <c r="D47" s="111">
        <f t="shared" ref="D47:R47" si="35">D6</f>
        <v>375</v>
      </c>
      <c r="E47" s="111">
        <f t="shared" si="35"/>
        <v>46</v>
      </c>
      <c r="F47" s="111">
        <f t="shared" si="35"/>
        <v>26</v>
      </c>
      <c r="G47" s="111">
        <f t="shared" si="35"/>
        <v>26</v>
      </c>
      <c r="H47" s="111">
        <f t="shared" si="35"/>
        <v>42</v>
      </c>
      <c r="I47" s="111">
        <f t="shared" si="28"/>
        <v>0</v>
      </c>
      <c r="J47" s="111">
        <f t="shared" si="35"/>
        <v>0</v>
      </c>
      <c r="K47" s="111">
        <f t="shared" si="35"/>
        <v>0</v>
      </c>
      <c r="L47" s="111">
        <f t="shared" si="35"/>
        <v>0</v>
      </c>
      <c r="M47" s="111">
        <f t="shared" ref="M47:N47" si="36">M6</f>
        <v>0</v>
      </c>
      <c r="N47" s="111">
        <f t="shared" si="36"/>
        <v>0</v>
      </c>
      <c r="O47" s="111">
        <f t="shared" si="30"/>
        <v>170</v>
      </c>
      <c r="P47" s="111">
        <f t="shared" si="35"/>
        <v>0</v>
      </c>
      <c r="Q47" s="111">
        <f t="shared" si="35"/>
        <v>0</v>
      </c>
      <c r="R47" s="112">
        <f t="shared" si="35"/>
        <v>2</v>
      </c>
      <c r="S47" s="127">
        <f>SUM(C47:R47)</f>
        <v>824</v>
      </c>
      <c r="W47" s="111">
        <f t="shared" si="31"/>
        <v>0</v>
      </c>
      <c r="X47" s="112">
        <f t="shared" si="31"/>
        <v>0</v>
      </c>
      <c r="Z47" s="110"/>
      <c r="AC47" s="110"/>
      <c r="AE47" s="120"/>
      <c r="AG47" s="110">
        <f t="shared" si="32"/>
        <v>1987</v>
      </c>
      <c r="AH47" s="111">
        <f t="shared" si="32"/>
        <v>402</v>
      </c>
      <c r="AI47" s="157">
        <f t="shared" si="32"/>
        <v>3348</v>
      </c>
      <c r="AJ47" s="112">
        <f t="shared" si="32"/>
        <v>422</v>
      </c>
      <c r="AL47" s="121"/>
      <c r="AM47" s="123"/>
      <c r="AN47" s="120"/>
      <c r="AO47" s="122"/>
      <c r="AP47" s="122"/>
      <c r="AQ47" s="120"/>
      <c r="AR47" s="122"/>
      <c r="AS47" s="122"/>
      <c r="AT47" s="122"/>
      <c r="AU47" s="122"/>
      <c r="AV47" s="123"/>
      <c r="AW47"/>
      <c r="AX47" s="356"/>
      <c r="AY47"/>
      <c r="BA47" s="121">
        <f t="shared" si="33"/>
        <v>0</v>
      </c>
      <c r="BB47" s="122"/>
      <c r="BC47" s="122"/>
      <c r="BD47" s="122"/>
      <c r="BI47" s="122"/>
      <c r="BJ47" s="122"/>
      <c r="BK47" s="122"/>
      <c r="BL47" s="122"/>
      <c r="BM47" s="112">
        <f t="shared" si="33"/>
        <v>3942</v>
      </c>
      <c r="BO47" s="121">
        <f t="shared" si="34"/>
        <v>0</v>
      </c>
      <c r="BP47" s="123">
        <f t="shared" si="34"/>
        <v>0</v>
      </c>
      <c r="BR47" s="236"/>
      <c r="BS47" s="126"/>
      <c r="BT47" s="237"/>
      <c r="BV47" s="110"/>
      <c r="DV47" s="127">
        <f>SUM(BV47:DU47)</f>
        <v>0</v>
      </c>
      <c r="DW47" s="128"/>
    </row>
    <row r="48" spans="1:129" s="111" customFormat="1">
      <c r="A48" s="119">
        <v>1990</v>
      </c>
      <c r="B48" s="189"/>
      <c r="C48" s="110">
        <f t="shared" si="26"/>
        <v>137</v>
      </c>
      <c r="D48" s="111">
        <f t="shared" ref="D48:R48" si="37">D7</f>
        <v>394</v>
      </c>
      <c r="E48" s="111">
        <f t="shared" si="37"/>
        <v>58</v>
      </c>
      <c r="F48" s="111">
        <f t="shared" si="37"/>
        <v>9</v>
      </c>
      <c r="G48" s="111">
        <f t="shared" si="37"/>
        <v>52</v>
      </c>
      <c r="H48" s="111">
        <f t="shared" si="37"/>
        <v>40</v>
      </c>
      <c r="I48" s="111">
        <f t="shared" si="28"/>
        <v>0</v>
      </c>
      <c r="J48" s="111">
        <f t="shared" si="37"/>
        <v>0</v>
      </c>
      <c r="K48" s="111">
        <f t="shared" si="37"/>
        <v>0</v>
      </c>
      <c r="L48" s="111">
        <f t="shared" si="37"/>
        <v>0</v>
      </c>
      <c r="M48" s="111">
        <f t="shared" ref="M48:N48" si="38">M7</f>
        <v>0</v>
      </c>
      <c r="N48" s="111">
        <f t="shared" si="38"/>
        <v>0</v>
      </c>
      <c r="O48" s="111">
        <f t="shared" si="30"/>
        <v>217</v>
      </c>
      <c r="P48" s="111">
        <f t="shared" si="37"/>
        <v>0</v>
      </c>
      <c r="Q48" s="111">
        <f t="shared" si="37"/>
        <v>0</v>
      </c>
      <c r="R48" s="112">
        <f t="shared" si="37"/>
        <v>2</v>
      </c>
      <c r="S48" s="127">
        <f t="shared" ref="S48:S67" si="39">SUM(C48:R48)</f>
        <v>909</v>
      </c>
      <c r="W48" s="111">
        <f t="shared" si="31"/>
        <v>0</v>
      </c>
      <c r="X48" s="112">
        <f t="shared" si="31"/>
        <v>0</v>
      </c>
      <c r="Z48" s="110"/>
      <c r="AC48" s="110"/>
      <c r="AE48" s="120"/>
      <c r="AG48" s="110">
        <f t="shared" si="32"/>
        <v>2095</v>
      </c>
      <c r="AH48" s="111">
        <f t="shared" si="32"/>
        <v>288</v>
      </c>
      <c r="AI48" s="157">
        <f t="shared" si="32"/>
        <v>3214</v>
      </c>
      <c r="AJ48" s="112">
        <f t="shared" si="32"/>
        <v>432</v>
      </c>
      <c r="AL48" s="121"/>
      <c r="AM48" s="123"/>
      <c r="AN48" s="120"/>
      <c r="AO48" s="122"/>
      <c r="AP48" s="122"/>
      <c r="AQ48" s="120"/>
      <c r="AR48" s="122"/>
      <c r="AS48" s="122"/>
      <c r="AT48" s="122"/>
      <c r="AU48" s="122"/>
      <c r="AV48" s="123"/>
      <c r="AW48"/>
      <c r="AX48" s="356"/>
      <c r="AY48"/>
      <c r="BA48" s="121">
        <f t="shared" si="33"/>
        <v>0</v>
      </c>
      <c r="BB48" s="122"/>
      <c r="BC48" s="122"/>
      <c r="BD48" s="122"/>
      <c r="BI48" s="122"/>
      <c r="BJ48" s="122"/>
      <c r="BK48" s="122"/>
      <c r="BL48" s="122"/>
      <c r="BM48" s="112">
        <f t="shared" si="33"/>
        <v>3564</v>
      </c>
      <c r="BO48" s="121">
        <f t="shared" si="34"/>
        <v>0</v>
      </c>
      <c r="BP48" s="123">
        <f t="shared" si="34"/>
        <v>0</v>
      </c>
      <c r="BR48" s="236"/>
      <c r="BS48" s="126"/>
      <c r="BT48" s="237"/>
      <c r="BV48" s="110"/>
      <c r="DV48" s="127">
        <f>SUM(BV48:DU48)</f>
        <v>0</v>
      </c>
      <c r="DW48" s="128"/>
    </row>
    <row r="49" spans="1:127" s="111" customFormat="1">
      <c r="A49" s="119">
        <v>1991</v>
      </c>
      <c r="B49" s="189"/>
      <c r="C49" s="110">
        <f t="shared" si="26"/>
        <v>91</v>
      </c>
      <c r="D49" s="111">
        <f t="shared" ref="D49:R49" si="40">D8</f>
        <v>380</v>
      </c>
      <c r="E49" s="111">
        <f t="shared" si="40"/>
        <v>65</v>
      </c>
      <c r="F49" s="111">
        <f t="shared" si="40"/>
        <v>6</v>
      </c>
      <c r="G49" s="111">
        <f t="shared" si="40"/>
        <v>58</v>
      </c>
      <c r="H49" s="111">
        <f t="shared" si="40"/>
        <v>44</v>
      </c>
      <c r="I49" s="111">
        <f t="shared" si="28"/>
        <v>0</v>
      </c>
      <c r="J49" s="111">
        <f t="shared" si="40"/>
        <v>0</v>
      </c>
      <c r="K49" s="111">
        <f t="shared" si="40"/>
        <v>0</v>
      </c>
      <c r="L49" s="111">
        <f t="shared" si="40"/>
        <v>0</v>
      </c>
      <c r="M49" s="111">
        <f t="shared" ref="M49:N49" si="41">M8</f>
        <v>0</v>
      </c>
      <c r="N49" s="111">
        <f t="shared" si="41"/>
        <v>0</v>
      </c>
      <c r="O49" s="111">
        <f t="shared" si="30"/>
        <v>411</v>
      </c>
      <c r="P49" s="111">
        <f t="shared" si="40"/>
        <v>0</v>
      </c>
      <c r="Q49" s="111">
        <f t="shared" si="40"/>
        <v>0</v>
      </c>
      <c r="R49" s="112">
        <f t="shared" si="40"/>
        <v>1</v>
      </c>
      <c r="S49" s="127">
        <f t="shared" si="39"/>
        <v>1056</v>
      </c>
      <c r="W49" s="111">
        <f t="shared" si="31"/>
        <v>0</v>
      </c>
      <c r="X49" s="112">
        <f t="shared" si="31"/>
        <v>0</v>
      </c>
      <c r="Z49" s="110"/>
      <c r="AC49" s="110"/>
      <c r="AE49" s="120"/>
      <c r="AG49" s="110">
        <f t="shared" si="32"/>
        <v>1852</v>
      </c>
      <c r="AH49" s="111">
        <f t="shared" si="32"/>
        <v>233</v>
      </c>
      <c r="AI49" s="157">
        <f t="shared" si="32"/>
        <v>3136</v>
      </c>
      <c r="AJ49" s="112">
        <f t="shared" si="32"/>
        <v>428</v>
      </c>
      <c r="AL49" s="121"/>
      <c r="AM49" s="123"/>
      <c r="AN49" s="120"/>
      <c r="AO49" s="122"/>
      <c r="AP49" s="122"/>
      <c r="AQ49" s="120"/>
      <c r="AR49" s="122"/>
      <c r="AS49" s="122"/>
      <c r="AT49" s="122"/>
      <c r="AU49" s="122"/>
      <c r="AV49" s="123"/>
      <c r="AW49"/>
      <c r="AX49" s="356"/>
      <c r="AY49"/>
      <c r="BA49" s="121">
        <f t="shared" si="33"/>
        <v>1558</v>
      </c>
      <c r="BB49" s="122"/>
      <c r="BC49" s="122">
        <f t="shared" si="33"/>
        <v>19111936</v>
      </c>
      <c r="BD49" s="122"/>
      <c r="BI49" s="122"/>
      <c r="BJ49" s="122"/>
      <c r="BK49" s="122"/>
      <c r="BL49" s="122"/>
      <c r="BM49" s="112">
        <f t="shared" si="33"/>
        <v>3490</v>
      </c>
      <c r="BO49" s="121">
        <f t="shared" si="34"/>
        <v>0</v>
      </c>
      <c r="BP49" s="123">
        <f t="shared" si="34"/>
        <v>0</v>
      </c>
      <c r="BR49" s="236"/>
      <c r="BS49" s="126"/>
      <c r="BT49" s="237"/>
      <c r="BV49" s="110"/>
      <c r="DV49" s="127">
        <f t="shared" ref="DV49:DV58" si="42">SUM(BV49:DU49)</f>
        <v>0</v>
      </c>
      <c r="DW49" s="128"/>
    </row>
    <row r="50" spans="1:127" s="111" customFormat="1">
      <c r="A50" s="119">
        <v>1992</v>
      </c>
      <c r="B50" s="189"/>
      <c r="C50" s="110">
        <f t="shared" si="26"/>
        <v>100</v>
      </c>
      <c r="D50" s="111">
        <f t="shared" ref="D50:R50" si="43">D9</f>
        <v>481</v>
      </c>
      <c r="E50" s="111">
        <f t="shared" si="43"/>
        <v>108</v>
      </c>
      <c r="F50" s="111">
        <f t="shared" si="43"/>
        <v>11</v>
      </c>
      <c r="G50" s="111">
        <f t="shared" si="43"/>
        <v>55</v>
      </c>
      <c r="H50" s="111">
        <f t="shared" si="43"/>
        <v>41</v>
      </c>
      <c r="I50" s="111">
        <f t="shared" si="28"/>
        <v>0</v>
      </c>
      <c r="J50" s="111">
        <f t="shared" si="43"/>
        <v>56</v>
      </c>
      <c r="K50" s="111">
        <f t="shared" si="43"/>
        <v>0</v>
      </c>
      <c r="L50" s="111">
        <f t="shared" si="43"/>
        <v>0</v>
      </c>
      <c r="M50" s="111">
        <f t="shared" ref="M50:N50" si="44">M9</f>
        <v>0</v>
      </c>
      <c r="N50" s="111">
        <f t="shared" si="44"/>
        <v>0</v>
      </c>
      <c r="O50" s="111">
        <f t="shared" si="30"/>
        <v>306</v>
      </c>
      <c r="P50" s="111">
        <f t="shared" si="43"/>
        <v>0</v>
      </c>
      <c r="Q50" s="111">
        <f t="shared" si="43"/>
        <v>0</v>
      </c>
      <c r="R50" s="112">
        <f t="shared" si="43"/>
        <v>0</v>
      </c>
      <c r="S50" s="127">
        <f t="shared" si="39"/>
        <v>1158</v>
      </c>
      <c r="W50" s="111">
        <f t="shared" si="31"/>
        <v>0</v>
      </c>
      <c r="X50" s="112">
        <f t="shared" si="31"/>
        <v>0</v>
      </c>
      <c r="Z50" s="110"/>
      <c r="AA50" s="111">
        <f t="shared" si="31"/>
        <v>25629317</v>
      </c>
      <c r="AC50" s="110"/>
      <c r="AE50" s="120"/>
      <c r="AG50" s="110">
        <f t="shared" si="32"/>
        <v>2112</v>
      </c>
      <c r="AH50" s="111">
        <f t="shared" si="32"/>
        <v>256</v>
      </c>
      <c r="AI50" s="157">
        <f t="shared" si="32"/>
        <v>3367</v>
      </c>
      <c r="AJ50" s="112">
        <f t="shared" si="32"/>
        <v>496</v>
      </c>
      <c r="AL50" s="121"/>
      <c r="AM50" s="123"/>
      <c r="AN50" s="120"/>
      <c r="AO50" s="122"/>
      <c r="AP50" s="122"/>
      <c r="AQ50" s="120"/>
      <c r="AR50" s="122"/>
      <c r="AS50" s="122"/>
      <c r="AT50" s="122"/>
      <c r="AU50" s="122"/>
      <c r="AV50" s="123"/>
      <c r="AW50"/>
      <c r="AX50" s="356"/>
      <c r="AY50"/>
      <c r="BA50" s="121">
        <f t="shared" si="33"/>
        <v>1552</v>
      </c>
      <c r="BB50" s="122"/>
      <c r="BC50" s="122">
        <f t="shared" si="33"/>
        <v>17874944</v>
      </c>
      <c r="BD50" s="122"/>
      <c r="BI50" s="122"/>
      <c r="BJ50" s="122"/>
      <c r="BK50" s="122"/>
      <c r="BL50" s="122"/>
      <c r="BM50" s="112">
        <f t="shared" si="33"/>
        <v>3494</v>
      </c>
      <c r="BO50" s="121">
        <f t="shared" si="34"/>
        <v>0</v>
      </c>
      <c r="BP50" s="123">
        <f t="shared" si="34"/>
        <v>0</v>
      </c>
      <c r="BR50" s="236"/>
      <c r="BS50" s="126"/>
      <c r="BT50" s="237"/>
      <c r="BV50" s="110">
        <f t="shared" ref="BV50:CD54" si="45">BV9</f>
        <v>5</v>
      </c>
      <c r="BW50" s="111">
        <f t="shared" si="45"/>
        <v>60</v>
      </c>
      <c r="BX50" s="111">
        <f t="shared" si="45"/>
        <v>0</v>
      </c>
      <c r="BY50" s="111">
        <f t="shared" si="45"/>
        <v>0</v>
      </c>
      <c r="BZ50" s="111">
        <f t="shared" si="45"/>
        <v>0</v>
      </c>
      <c r="CA50" s="111">
        <f t="shared" si="45"/>
        <v>0</v>
      </c>
      <c r="CB50" s="111">
        <f t="shared" si="45"/>
        <v>0</v>
      </c>
      <c r="CD50" s="111">
        <f t="shared" si="45"/>
        <v>49</v>
      </c>
      <c r="CE50" s="111">
        <f t="shared" ref="CE50:DU50" si="46">CE9</f>
        <v>0</v>
      </c>
      <c r="CF50" s="111">
        <f t="shared" si="46"/>
        <v>17</v>
      </c>
      <c r="CG50" s="111">
        <f t="shared" si="46"/>
        <v>3</v>
      </c>
      <c r="CH50" s="111">
        <f t="shared" si="46"/>
        <v>0</v>
      </c>
      <c r="CI50" s="111">
        <f t="shared" si="46"/>
        <v>20</v>
      </c>
      <c r="CJ50" s="111">
        <f t="shared" si="46"/>
        <v>84</v>
      </c>
      <c r="CL50" s="111">
        <f t="shared" ref="CL50" si="47">CL9</f>
        <v>0</v>
      </c>
      <c r="CM50" s="111">
        <f t="shared" si="46"/>
        <v>1</v>
      </c>
      <c r="CN50" s="111">
        <f t="shared" si="46"/>
        <v>0</v>
      </c>
      <c r="CO50" s="111">
        <f t="shared" si="46"/>
        <v>30</v>
      </c>
      <c r="CP50" s="111">
        <f t="shared" ref="CP50" si="48">CP9</f>
        <v>0</v>
      </c>
      <c r="CQ50" s="111">
        <f t="shared" si="46"/>
        <v>0</v>
      </c>
      <c r="CS50" s="111">
        <f t="shared" si="46"/>
        <v>14</v>
      </c>
      <c r="CT50" s="111">
        <f t="shared" si="46"/>
        <v>137</v>
      </c>
      <c r="CU50" s="111">
        <f t="shared" si="46"/>
        <v>26</v>
      </c>
      <c r="CV50" s="111">
        <f t="shared" si="46"/>
        <v>17</v>
      </c>
      <c r="CW50" s="111">
        <f t="shared" si="46"/>
        <v>0</v>
      </c>
      <c r="CX50" s="111">
        <f t="shared" ref="CX50" si="49">CX9</f>
        <v>0</v>
      </c>
      <c r="CY50" s="111">
        <f t="shared" si="46"/>
        <v>0</v>
      </c>
      <c r="CZ50" s="111">
        <f t="shared" si="46"/>
        <v>0</v>
      </c>
      <c r="DA50" s="111">
        <f t="shared" si="46"/>
        <v>0</v>
      </c>
      <c r="DB50" s="111">
        <f t="shared" si="46"/>
        <v>67</v>
      </c>
      <c r="DC50" s="111">
        <f t="shared" si="46"/>
        <v>0</v>
      </c>
      <c r="DD50" s="111">
        <f t="shared" si="46"/>
        <v>0</v>
      </c>
      <c r="DE50" s="111">
        <f t="shared" si="46"/>
        <v>0</v>
      </c>
      <c r="DF50" s="111">
        <f t="shared" si="46"/>
        <v>0</v>
      </c>
      <c r="DG50" s="111">
        <f t="shared" si="46"/>
        <v>18</v>
      </c>
      <c r="DH50" s="111">
        <f t="shared" si="46"/>
        <v>7</v>
      </c>
      <c r="DI50" s="111">
        <f t="shared" si="46"/>
        <v>7</v>
      </c>
      <c r="DJ50" s="111">
        <f t="shared" si="46"/>
        <v>0</v>
      </c>
      <c r="DK50" s="111">
        <f t="shared" ref="DK50" si="50">DK9</f>
        <v>0</v>
      </c>
      <c r="DL50" s="111">
        <f t="shared" si="46"/>
        <v>0</v>
      </c>
      <c r="DM50" s="111">
        <f t="shared" si="46"/>
        <v>15</v>
      </c>
      <c r="DN50" s="111">
        <f t="shared" si="46"/>
        <v>0</v>
      </c>
      <c r="DO50" s="111">
        <f t="shared" si="46"/>
        <v>29</v>
      </c>
      <c r="DP50" s="111">
        <f t="shared" si="46"/>
        <v>0</v>
      </c>
      <c r="DQ50" s="111">
        <f t="shared" si="46"/>
        <v>0</v>
      </c>
      <c r="DS50" s="111">
        <f t="shared" si="46"/>
        <v>0</v>
      </c>
      <c r="DT50" s="111">
        <f t="shared" si="46"/>
        <v>12</v>
      </c>
      <c r="DU50" s="111">
        <f t="shared" si="46"/>
        <v>0</v>
      </c>
      <c r="DV50" s="127">
        <f t="shared" si="42"/>
        <v>618</v>
      </c>
      <c r="DW50" s="128"/>
    </row>
    <row r="51" spans="1:127" s="111" customFormat="1">
      <c r="A51" s="119">
        <v>1993</v>
      </c>
      <c r="B51" s="189"/>
      <c r="C51" s="110">
        <f t="shared" si="26"/>
        <v>138</v>
      </c>
      <c r="D51" s="111">
        <f t="shared" ref="D51:R51" si="51">D10</f>
        <v>581</v>
      </c>
      <c r="E51" s="111">
        <f t="shared" si="51"/>
        <v>162</v>
      </c>
      <c r="F51" s="111">
        <f t="shared" si="51"/>
        <v>8</v>
      </c>
      <c r="G51" s="111">
        <f t="shared" si="51"/>
        <v>88</v>
      </c>
      <c r="H51" s="111">
        <f t="shared" si="51"/>
        <v>23</v>
      </c>
      <c r="I51" s="111">
        <f t="shared" si="28"/>
        <v>0</v>
      </c>
      <c r="J51" s="111">
        <f t="shared" si="51"/>
        <v>291</v>
      </c>
      <c r="K51" s="111">
        <f t="shared" si="51"/>
        <v>0</v>
      </c>
      <c r="L51" s="111">
        <f t="shared" si="51"/>
        <v>0</v>
      </c>
      <c r="M51" s="111">
        <f t="shared" ref="M51:N51" si="52">M10</f>
        <v>0</v>
      </c>
      <c r="N51" s="111">
        <f t="shared" si="52"/>
        <v>0</v>
      </c>
      <c r="O51" s="111">
        <f t="shared" si="30"/>
        <v>351</v>
      </c>
      <c r="P51" s="111">
        <f t="shared" si="51"/>
        <v>0</v>
      </c>
      <c r="Q51" s="111">
        <f t="shared" si="51"/>
        <v>0</v>
      </c>
      <c r="R51" s="112">
        <f t="shared" si="51"/>
        <v>11</v>
      </c>
      <c r="S51" s="127">
        <f t="shared" si="39"/>
        <v>1653</v>
      </c>
      <c r="W51" s="111">
        <f t="shared" si="31"/>
        <v>0</v>
      </c>
      <c r="X51" s="112">
        <f t="shared" si="31"/>
        <v>0</v>
      </c>
      <c r="Z51" s="110"/>
      <c r="AA51" s="111">
        <f t="shared" si="31"/>
        <v>30638827</v>
      </c>
      <c r="AC51" s="110"/>
      <c r="AE51" s="120"/>
      <c r="AG51" s="110">
        <f t="shared" si="32"/>
        <v>2189</v>
      </c>
      <c r="AH51" s="111">
        <f t="shared" si="32"/>
        <v>480</v>
      </c>
      <c r="AI51" s="157">
        <f t="shared" si="32"/>
        <v>3668</v>
      </c>
      <c r="AJ51" s="112">
        <f t="shared" si="32"/>
        <v>548</v>
      </c>
      <c r="AL51" s="121">
        <f t="shared" ref="AL51:AM59" si="53">AL10</f>
        <v>32</v>
      </c>
      <c r="AM51" s="123">
        <f t="shared" si="53"/>
        <v>146</v>
      </c>
      <c r="AN51" s="120">
        <f>ROUND(SUM(AL51:AM51),0)</f>
        <v>178</v>
      </c>
      <c r="AO51" s="122">
        <f t="shared" ref="AO51:AP59" si="54">AO10</f>
        <v>154</v>
      </c>
      <c r="AP51" s="122">
        <f t="shared" si="54"/>
        <v>34</v>
      </c>
      <c r="AQ51" s="120">
        <f>ROUND(SUM(AO51:AP51),0)</f>
        <v>188</v>
      </c>
      <c r="AR51" s="122"/>
      <c r="AS51" s="122"/>
      <c r="AT51" s="122"/>
      <c r="AU51" s="122"/>
      <c r="AV51" s="123"/>
      <c r="AW51"/>
      <c r="AX51" s="356"/>
      <c r="AY51"/>
      <c r="BA51" s="121">
        <f t="shared" si="33"/>
        <v>1531</v>
      </c>
      <c r="BB51" s="122"/>
      <c r="BC51" s="122">
        <f t="shared" si="33"/>
        <v>17595830.857142858</v>
      </c>
      <c r="BD51" s="122"/>
      <c r="BI51" s="122"/>
      <c r="BJ51" s="122"/>
      <c r="BK51" s="122"/>
      <c r="BL51" s="122"/>
      <c r="BM51" s="112">
        <f t="shared" si="33"/>
        <v>3281</v>
      </c>
      <c r="BO51" s="121">
        <f t="shared" si="34"/>
        <v>0</v>
      </c>
      <c r="BP51" s="123">
        <f t="shared" si="34"/>
        <v>0</v>
      </c>
      <c r="BR51" s="236"/>
      <c r="BS51" s="126"/>
      <c r="BT51" s="237"/>
      <c r="BV51" s="110">
        <f t="shared" si="45"/>
        <v>51</v>
      </c>
      <c r="BW51" s="111">
        <f t="shared" si="45"/>
        <v>21</v>
      </c>
      <c r="BX51" s="111">
        <f t="shared" si="45"/>
        <v>0</v>
      </c>
      <c r="BY51" s="111">
        <f t="shared" si="45"/>
        <v>0</v>
      </c>
      <c r="BZ51" s="111">
        <f t="shared" si="45"/>
        <v>0</v>
      </c>
      <c r="CA51" s="111">
        <f t="shared" si="45"/>
        <v>0</v>
      </c>
      <c r="CB51" s="111">
        <f t="shared" si="45"/>
        <v>0</v>
      </c>
      <c r="CD51" s="111">
        <f t="shared" si="45"/>
        <v>93</v>
      </c>
      <c r="CE51" s="111">
        <f t="shared" ref="CE51:DU51" si="55">CE10</f>
        <v>0</v>
      </c>
      <c r="CF51" s="111">
        <f t="shared" si="55"/>
        <v>12</v>
      </c>
      <c r="CG51" s="111">
        <f t="shared" si="55"/>
        <v>18</v>
      </c>
      <c r="CH51" s="111">
        <f t="shared" si="55"/>
        <v>0</v>
      </c>
      <c r="CI51" s="111">
        <f t="shared" si="55"/>
        <v>105</v>
      </c>
      <c r="CJ51" s="111">
        <f t="shared" si="55"/>
        <v>179</v>
      </c>
      <c r="CL51" s="111">
        <f t="shared" ref="CL51" si="56">CL10</f>
        <v>0</v>
      </c>
      <c r="CM51" s="111">
        <f t="shared" si="55"/>
        <v>62</v>
      </c>
      <c r="CN51" s="111">
        <f t="shared" si="55"/>
        <v>0</v>
      </c>
      <c r="CO51" s="111">
        <f t="shared" si="55"/>
        <v>167</v>
      </c>
      <c r="CP51" s="111">
        <f t="shared" ref="CP51" si="57">CP10</f>
        <v>0</v>
      </c>
      <c r="CQ51" s="111">
        <f t="shared" si="55"/>
        <v>0</v>
      </c>
      <c r="CS51" s="111">
        <f t="shared" si="55"/>
        <v>20</v>
      </c>
      <c r="CT51" s="111">
        <f t="shared" si="55"/>
        <v>296</v>
      </c>
      <c r="CU51" s="111">
        <f t="shared" si="55"/>
        <v>76</v>
      </c>
      <c r="CV51" s="111">
        <f t="shared" si="55"/>
        <v>44</v>
      </c>
      <c r="CW51" s="111">
        <f t="shared" si="55"/>
        <v>0</v>
      </c>
      <c r="CX51" s="111">
        <f t="shared" ref="CX51" si="58">CX10</f>
        <v>0</v>
      </c>
      <c r="CY51" s="111">
        <f t="shared" si="55"/>
        <v>0</v>
      </c>
      <c r="CZ51" s="111">
        <f t="shared" si="55"/>
        <v>0</v>
      </c>
      <c r="DA51" s="111">
        <f t="shared" si="55"/>
        <v>0</v>
      </c>
      <c r="DB51" s="111">
        <f t="shared" si="55"/>
        <v>152</v>
      </c>
      <c r="DC51" s="111">
        <f t="shared" si="55"/>
        <v>0</v>
      </c>
      <c r="DD51" s="111">
        <f t="shared" si="55"/>
        <v>0</v>
      </c>
      <c r="DE51" s="111">
        <f t="shared" si="55"/>
        <v>0</v>
      </c>
      <c r="DF51" s="111">
        <f t="shared" si="55"/>
        <v>0</v>
      </c>
      <c r="DG51" s="111">
        <f t="shared" si="55"/>
        <v>65</v>
      </c>
      <c r="DH51" s="111">
        <f t="shared" si="55"/>
        <v>29</v>
      </c>
      <c r="DI51" s="111">
        <f t="shared" si="55"/>
        <v>25</v>
      </c>
      <c r="DJ51" s="111">
        <f t="shared" si="55"/>
        <v>0</v>
      </c>
      <c r="DK51" s="111">
        <f t="shared" ref="DK51" si="59">DK10</f>
        <v>0</v>
      </c>
      <c r="DL51" s="111">
        <f t="shared" si="55"/>
        <v>0</v>
      </c>
      <c r="DM51" s="111">
        <f t="shared" si="55"/>
        <v>99</v>
      </c>
      <c r="DN51" s="111">
        <f t="shared" si="55"/>
        <v>0</v>
      </c>
      <c r="DO51" s="111">
        <f t="shared" si="55"/>
        <v>63</v>
      </c>
      <c r="DP51" s="111">
        <f t="shared" si="55"/>
        <v>0</v>
      </c>
      <c r="DQ51" s="111">
        <f t="shared" si="55"/>
        <v>0</v>
      </c>
      <c r="DS51" s="111">
        <f t="shared" si="55"/>
        <v>0</v>
      </c>
      <c r="DT51" s="111">
        <f t="shared" si="55"/>
        <v>65</v>
      </c>
      <c r="DU51" s="111">
        <f t="shared" si="55"/>
        <v>11</v>
      </c>
      <c r="DV51" s="127">
        <f t="shared" si="42"/>
        <v>1653</v>
      </c>
      <c r="DW51" s="128"/>
    </row>
    <row r="52" spans="1:127" s="111" customFormat="1">
      <c r="A52" s="119">
        <v>1994</v>
      </c>
      <c r="B52" s="189"/>
      <c r="C52" s="110">
        <f t="shared" ref="C52:C58" si="60">C11</f>
        <v>84</v>
      </c>
      <c r="D52" s="111">
        <f t="shared" ref="D52:R52" si="61">D11</f>
        <v>515</v>
      </c>
      <c r="E52" s="111">
        <f t="shared" si="61"/>
        <v>40</v>
      </c>
      <c r="F52" s="111">
        <f t="shared" si="61"/>
        <v>21</v>
      </c>
      <c r="G52" s="111">
        <f t="shared" si="61"/>
        <v>53</v>
      </c>
      <c r="H52" s="111">
        <f t="shared" si="61"/>
        <v>42</v>
      </c>
      <c r="I52" s="111">
        <f t="shared" si="28"/>
        <v>0</v>
      </c>
      <c r="J52" s="111">
        <f t="shared" si="61"/>
        <v>94</v>
      </c>
      <c r="K52" s="111">
        <f t="shared" si="61"/>
        <v>0</v>
      </c>
      <c r="L52" s="111">
        <f t="shared" si="61"/>
        <v>0</v>
      </c>
      <c r="M52" s="111">
        <f t="shared" ref="M52:N52" si="62">M11</f>
        <v>0</v>
      </c>
      <c r="N52" s="111">
        <f t="shared" si="62"/>
        <v>0</v>
      </c>
      <c r="O52" s="111">
        <f t="shared" si="30"/>
        <v>569</v>
      </c>
      <c r="P52" s="111">
        <f t="shared" si="61"/>
        <v>10</v>
      </c>
      <c r="Q52" s="111">
        <f t="shared" si="61"/>
        <v>0</v>
      </c>
      <c r="R52" s="112">
        <f t="shared" si="61"/>
        <v>2</v>
      </c>
      <c r="S52" s="127">
        <f t="shared" si="39"/>
        <v>1430</v>
      </c>
      <c r="T52" s="111">
        <f t="shared" si="31"/>
        <v>237</v>
      </c>
      <c r="W52" s="111">
        <f t="shared" si="31"/>
        <v>69</v>
      </c>
      <c r="X52" s="112">
        <f t="shared" si="31"/>
        <v>2</v>
      </c>
      <c r="Z52" s="110"/>
      <c r="AA52" s="111">
        <f t="shared" si="31"/>
        <v>34935956</v>
      </c>
      <c r="AC52" s="110"/>
      <c r="AE52" s="120"/>
      <c r="AG52" s="110">
        <f t="shared" si="32"/>
        <v>2200</v>
      </c>
      <c r="AH52" s="111">
        <f t="shared" si="32"/>
        <v>522</v>
      </c>
      <c r="AI52" s="157">
        <f t="shared" si="32"/>
        <v>3368</v>
      </c>
      <c r="AJ52" s="112">
        <f t="shared" si="32"/>
        <v>482</v>
      </c>
      <c r="AL52" s="121">
        <f t="shared" si="53"/>
        <v>33</v>
      </c>
      <c r="AM52" s="123">
        <f t="shared" si="53"/>
        <v>148</v>
      </c>
      <c r="AN52" s="120">
        <f t="shared" ref="AN52:AN72" si="63">ROUND(SUM(AL52:AM52),0)</f>
        <v>181</v>
      </c>
      <c r="AO52" s="122">
        <f t="shared" si="54"/>
        <v>175</v>
      </c>
      <c r="AP52" s="122">
        <f t="shared" si="54"/>
        <v>32</v>
      </c>
      <c r="AQ52" s="120">
        <f t="shared" ref="AQ52:AQ68" si="64">ROUND(SUM(AO52:AP52),0)</f>
        <v>207</v>
      </c>
      <c r="AR52" s="122"/>
      <c r="AS52" s="122"/>
      <c r="AT52" s="122"/>
      <c r="AU52" s="122"/>
      <c r="AV52" s="123"/>
      <c r="AW52"/>
      <c r="AX52" s="356"/>
      <c r="AY52"/>
      <c r="BA52" s="121">
        <f t="shared" si="33"/>
        <v>1549</v>
      </c>
      <c r="BB52" s="122"/>
      <c r="BC52" s="122">
        <f t="shared" si="33"/>
        <v>18162688</v>
      </c>
      <c r="BD52" s="122"/>
      <c r="BE52" s="111">
        <f t="shared" si="33"/>
        <v>1033</v>
      </c>
      <c r="BF52" s="111">
        <f t="shared" si="33"/>
        <v>111</v>
      </c>
      <c r="BG52" s="111">
        <f t="shared" si="33"/>
        <v>44</v>
      </c>
      <c r="BI52" s="122"/>
      <c r="BJ52" s="122"/>
      <c r="BK52" s="122"/>
      <c r="BL52" s="122"/>
      <c r="BM52" s="112">
        <f t="shared" si="33"/>
        <v>3592</v>
      </c>
      <c r="BO52" s="121">
        <f t="shared" si="34"/>
        <v>0</v>
      </c>
      <c r="BP52" s="123">
        <f t="shared" si="34"/>
        <v>0</v>
      </c>
      <c r="BR52" s="236"/>
      <c r="BS52" s="126"/>
      <c r="BT52" s="237"/>
      <c r="BV52" s="110">
        <f t="shared" si="45"/>
        <v>84</v>
      </c>
      <c r="BW52" s="111">
        <f t="shared" si="45"/>
        <v>99</v>
      </c>
      <c r="BX52" s="111">
        <f t="shared" si="45"/>
        <v>0</v>
      </c>
      <c r="BY52" s="111">
        <f t="shared" si="45"/>
        <v>0</v>
      </c>
      <c r="BZ52" s="111">
        <f t="shared" si="45"/>
        <v>0</v>
      </c>
      <c r="CA52" s="111">
        <f t="shared" si="45"/>
        <v>0</v>
      </c>
      <c r="CB52" s="111">
        <f t="shared" si="45"/>
        <v>0</v>
      </c>
      <c r="CD52" s="111">
        <f t="shared" si="45"/>
        <v>140</v>
      </c>
      <c r="CE52" s="111">
        <f t="shared" ref="CE52:DU52" si="65">CE11</f>
        <v>0</v>
      </c>
      <c r="CF52" s="111">
        <f t="shared" si="65"/>
        <v>14</v>
      </c>
      <c r="CG52" s="111">
        <f t="shared" si="65"/>
        <v>26</v>
      </c>
      <c r="CH52" s="111">
        <f t="shared" si="65"/>
        <v>0</v>
      </c>
      <c r="CI52" s="111">
        <f t="shared" si="65"/>
        <v>51</v>
      </c>
      <c r="CJ52" s="111">
        <f t="shared" si="65"/>
        <v>163</v>
      </c>
      <c r="CL52" s="111">
        <f t="shared" ref="CL52" si="66">CL11</f>
        <v>0</v>
      </c>
      <c r="CM52" s="111">
        <f t="shared" si="65"/>
        <v>5</v>
      </c>
      <c r="CN52" s="111">
        <f t="shared" si="65"/>
        <v>0</v>
      </c>
      <c r="CO52" s="111">
        <f t="shared" si="65"/>
        <v>118</v>
      </c>
      <c r="CP52" s="111">
        <f t="shared" ref="CP52" si="67">CP11</f>
        <v>0</v>
      </c>
      <c r="CQ52" s="111">
        <f t="shared" si="65"/>
        <v>0</v>
      </c>
      <c r="CS52" s="111">
        <f t="shared" si="65"/>
        <v>36</v>
      </c>
      <c r="CT52" s="111">
        <f t="shared" si="65"/>
        <v>144</v>
      </c>
      <c r="CU52" s="111">
        <f t="shared" si="65"/>
        <v>151</v>
      </c>
      <c r="CV52" s="111">
        <f t="shared" si="65"/>
        <v>36</v>
      </c>
      <c r="CW52" s="111">
        <f t="shared" si="65"/>
        <v>0</v>
      </c>
      <c r="CX52" s="111">
        <f t="shared" ref="CX52" si="68">CX11</f>
        <v>0</v>
      </c>
      <c r="CY52" s="111">
        <f t="shared" si="65"/>
        <v>0</v>
      </c>
      <c r="CZ52" s="111">
        <f t="shared" si="65"/>
        <v>0</v>
      </c>
      <c r="DA52" s="111">
        <f t="shared" si="65"/>
        <v>0</v>
      </c>
      <c r="DB52" s="111">
        <f t="shared" si="65"/>
        <v>133</v>
      </c>
      <c r="DC52" s="111">
        <f t="shared" si="65"/>
        <v>0</v>
      </c>
      <c r="DD52" s="111">
        <f t="shared" si="65"/>
        <v>0</v>
      </c>
      <c r="DE52" s="111">
        <f t="shared" si="65"/>
        <v>0</v>
      </c>
      <c r="DF52" s="111">
        <f t="shared" si="65"/>
        <v>0</v>
      </c>
      <c r="DG52" s="111">
        <f t="shared" si="65"/>
        <v>40</v>
      </c>
      <c r="DH52" s="111">
        <f t="shared" si="65"/>
        <v>28</v>
      </c>
      <c r="DI52" s="111">
        <f t="shared" si="65"/>
        <v>19</v>
      </c>
      <c r="DJ52" s="111">
        <f t="shared" si="65"/>
        <v>0</v>
      </c>
      <c r="DK52" s="111">
        <f t="shared" ref="DK52" si="69">DK11</f>
        <v>0</v>
      </c>
      <c r="DL52" s="111">
        <f t="shared" si="65"/>
        <v>0</v>
      </c>
      <c r="DM52" s="111">
        <f t="shared" si="65"/>
        <v>70</v>
      </c>
      <c r="DN52" s="111">
        <f t="shared" si="65"/>
        <v>0</v>
      </c>
      <c r="DO52" s="111">
        <f t="shared" si="65"/>
        <v>17</v>
      </c>
      <c r="DP52" s="111">
        <f t="shared" si="65"/>
        <v>0</v>
      </c>
      <c r="DQ52" s="111">
        <f t="shared" si="65"/>
        <v>0</v>
      </c>
      <c r="DS52" s="111">
        <f t="shared" si="65"/>
        <v>0</v>
      </c>
      <c r="DT52" s="111">
        <f t="shared" si="65"/>
        <v>54</v>
      </c>
      <c r="DU52" s="111">
        <f t="shared" si="65"/>
        <v>2</v>
      </c>
      <c r="DV52" s="127">
        <f t="shared" si="42"/>
        <v>1430</v>
      </c>
      <c r="DW52" s="128"/>
    </row>
    <row r="53" spans="1:127" s="111" customFormat="1">
      <c r="A53" s="119">
        <v>1995</v>
      </c>
      <c r="B53" s="189"/>
      <c r="C53" s="110">
        <f t="shared" si="60"/>
        <v>76</v>
      </c>
      <c r="D53" s="111">
        <f t="shared" ref="D53:R53" si="70">D12</f>
        <v>453</v>
      </c>
      <c r="E53" s="111">
        <f t="shared" si="70"/>
        <v>52</v>
      </c>
      <c r="F53" s="111">
        <f t="shared" si="70"/>
        <v>18</v>
      </c>
      <c r="G53" s="111">
        <f t="shared" si="70"/>
        <v>45</v>
      </c>
      <c r="H53" s="111">
        <f t="shared" si="70"/>
        <v>18</v>
      </c>
      <c r="I53" s="111">
        <f t="shared" si="28"/>
        <v>1</v>
      </c>
      <c r="J53" s="111">
        <f t="shared" si="70"/>
        <v>104</v>
      </c>
      <c r="K53" s="111">
        <f t="shared" si="70"/>
        <v>0</v>
      </c>
      <c r="L53" s="111">
        <f t="shared" si="70"/>
        <v>0</v>
      </c>
      <c r="M53" s="111">
        <f t="shared" ref="M53:N53" si="71">M12</f>
        <v>0</v>
      </c>
      <c r="N53" s="111">
        <f t="shared" si="71"/>
        <v>0</v>
      </c>
      <c r="O53" s="111">
        <f t="shared" si="30"/>
        <v>320</v>
      </c>
      <c r="P53" s="111">
        <f t="shared" si="70"/>
        <v>33</v>
      </c>
      <c r="Q53" s="111">
        <f t="shared" si="70"/>
        <v>0</v>
      </c>
      <c r="R53" s="112">
        <f t="shared" si="70"/>
        <v>5</v>
      </c>
      <c r="S53" s="127">
        <f t="shared" si="39"/>
        <v>1125</v>
      </c>
      <c r="T53" s="111">
        <f t="shared" si="31"/>
        <v>158</v>
      </c>
      <c r="W53" s="111">
        <f t="shared" si="31"/>
        <v>56</v>
      </c>
      <c r="X53" s="112">
        <f t="shared" si="31"/>
        <v>14</v>
      </c>
      <c r="Z53" s="110">
        <f t="shared" si="31"/>
        <v>11041828</v>
      </c>
      <c r="AA53" s="111">
        <f t="shared" si="31"/>
        <v>24861371</v>
      </c>
      <c r="AC53" s="110"/>
      <c r="AE53" s="120"/>
      <c r="AG53" s="110">
        <f t="shared" si="32"/>
        <v>2161</v>
      </c>
      <c r="AH53" s="111">
        <f t="shared" si="32"/>
        <v>764</v>
      </c>
      <c r="AI53" s="157">
        <f t="shared" si="32"/>
        <v>3365</v>
      </c>
      <c r="AJ53" s="112">
        <f t="shared" si="32"/>
        <v>656</v>
      </c>
      <c r="AL53" s="121">
        <f t="shared" si="53"/>
        <v>33</v>
      </c>
      <c r="AM53" s="123">
        <f t="shared" si="53"/>
        <v>143.5</v>
      </c>
      <c r="AN53" s="120">
        <f t="shared" si="63"/>
        <v>177</v>
      </c>
      <c r="AO53" s="122">
        <f t="shared" si="54"/>
        <v>170.5</v>
      </c>
      <c r="AP53" s="122">
        <f t="shared" si="54"/>
        <v>23</v>
      </c>
      <c r="AQ53" s="120">
        <f t="shared" si="64"/>
        <v>194</v>
      </c>
      <c r="AR53" s="122"/>
      <c r="AS53" s="122"/>
      <c r="AT53" s="122"/>
      <c r="AU53" s="122"/>
      <c r="AV53" s="123"/>
      <c r="AW53"/>
      <c r="AX53" s="356"/>
      <c r="AY53"/>
      <c r="BA53" s="121">
        <f t="shared" si="33"/>
        <v>1595</v>
      </c>
      <c r="BB53" s="122"/>
      <c r="BC53" s="122">
        <f t="shared" si="33"/>
        <v>18537267.199999999</v>
      </c>
      <c r="BD53" s="122"/>
      <c r="BE53" s="111">
        <f t="shared" si="33"/>
        <v>710</v>
      </c>
      <c r="BF53" s="111">
        <f t="shared" si="33"/>
        <v>81</v>
      </c>
      <c r="BG53" s="111">
        <f t="shared" si="33"/>
        <v>48</v>
      </c>
      <c r="BI53" s="122"/>
      <c r="BJ53" s="122"/>
      <c r="BK53" s="122"/>
      <c r="BL53" s="122"/>
      <c r="BM53" s="112">
        <f t="shared" si="33"/>
        <v>4087</v>
      </c>
      <c r="BO53" s="121">
        <f t="shared" si="34"/>
        <v>270</v>
      </c>
      <c r="BP53" s="123">
        <f t="shared" si="34"/>
        <v>153</v>
      </c>
      <c r="BR53" s="236"/>
      <c r="BS53" s="126"/>
      <c r="BT53" s="237"/>
      <c r="BV53" s="110">
        <f t="shared" si="45"/>
        <v>43</v>
      </c>
      <c r="BW53" s="111">
        <f t="shared" si="45"/>
        <v>13</v>
      </c>
      <c r="BX53" s="111">
        <f t="shared" si="45"/>
        <v>0</v>
      </c>
      <c r="BY53" s="111">
        <f t="shared" si="45"/>
        <v>0</v>
      </c>
      <c r="BZ53" s="111">
        <f t="shared" si="45"/>
        <v>0</v>
      </c>
      <c r="CA53" s="111">
        <f t="shared" si="45"/>
        <v>0</v>
      </c>
      <c r="CB53" s="111">
        <f t="shared" si="45"/>
        <v>0</v>
      </c>
      <c r="CD53" s="111">
        <f t="shared" si="45"/>
        <v>103</v>
      </c>
      <c r="CE53" s="111">
        <f t="shared" ref="CE53:DU53" si="72">CE12</f>
        <v>0</v>
      </c>
      <c r="CF53" s="111">
        <f t="shared" si="72"/>
        <v>7</v>
      </c>
      <c r="CG53" s="111">
        <f t="shared" si="72"/>
        <v>2</v>
      </c>
      <c r="CH53" s="111">
        <f t="shared" si="72"/>
        <v>0</v>
      </c>
      <c r="CI53" s="111">
        <f t="shared" si="72"/>
        <v>102</v>
      </c>
      <c r="CJ53" s="111">
        <f t="shared" si="72"/>
        <v>124</v>
      </c>
      <c r="CL53" s="111">
        <f t="shared" ref="CL53" si="73">CL12</f>
        <v>0</v>
      </c>
      <c r="CM53" s="111">
        <f t="shared" si="72"/>
        <v>38</v>
      </c>
      <c r="CN53" s="111">
        <f t="shared" si="72"/>
        <v>0</v>
      </c>
      <c r="CO53" s="111">
        <f t="shared" si="72"/>
        <v>76</v>
      </c>
      <c r="CP53" s="111">
        <f t="shared" ref="CP53" si="74">CP12</f>
        <v>0</v>
      </c>
      <c r="CQ53" s="111">
        <f t="shared" si="72"/>
        <v>0</v>
      </c>
      <c r="CS53" s="111">
        <f t="shared" si="72"/>
        <v>32</v>
      </c>
      <c r="CT53" s="111">
        <f t="shared" si="72"/>
        <v>81</v>
      </c>
      <c r="CU53" s="111">
        <f t="shared" si="72"/>
        <v>72</v>
      </c>
      <c r="CV53" s="111">
        <f t="shared" si="72"/>
        <v>55</v>
      </c>
      <c r="CW53" s="111">
        <f t="shared" si="72"/>
        <v>0</v>
      </c>
      <c r="CX53" s="111">
        <f t="shared" ref="CX53" si="75">CX12</f>
        <v>0</v>
      </c>
      <c r="CY53" s="111">
        <f t="shared" si="72"/>
        <v>0</v>
      </c>
      <c r="CZ53" s="111">
        <f t="shared" si="72"/>
        <v>0</v>
      </c>
      <c r="DA53" s="111">
        <f t="shared" si="72"/>
        <v>0</v>
      </c>
      <c r="DB53" s="111">
        <f t="shared" si="72"/>
        <v>144</v>
      </c>
      <c r="DC53" s="111">
        <f t="shared" si="72"/>
        <v>0</v>
      </c>
      <c r="DD53" s="111">
        <f t="shared" si="72"/>
        <v>0</v>
      </c>
      <c r="DE53" s="111">
        <f t="shared" si="72"/>
        <v>0</v>
      </c>
      <c r="DF53" s="111">
        <f t="shared" si="72"/>
        <v>0</v>
      </c>
      <c r="DG53" s="111">
        <f t="shared" si="72"/>
        <v>32</v>
      </c>
      <c r="DH53" s="111">
        <f t="shared" si="72"/>
        <v>11</v>
      </c>
      <c r="DI53" s="111">
        <f t="shared" si="72"/>
        <v>48</v>
      </c>
      <c r="DJ53" s="111">
        <f t="shared" si="72"/>
        <v>0</v>
      </c>
      <c r="DK53" s="111">
        <f t="shared" ref="DK53" si="76">DK12</f>
        <v>0</v>
      </c>
      <c r="DL53" s="111">
        <f t="shared" si="72"/>
        <v>0</v>
      </c>
      <c r="DM53" s="111">
        <f t="shared" si="72"/>
        <v>63</v>
      </c>
      <c r="DN53" s="111">
        <f t="shared" si="72"/>
        <v>0</v>
      </c>
      <c r="DO53" s="111">
        <f t="shared" si="72"/>
        <v>11</v>
      </c>
      <c r="DP53" s="111">
        <f t="shared" si="72"/>
        <v>0</v>
      </c>
      <c r="DQ53" s="111">
        <f t="shared" si="72"/>
        <v>0</v>
      </c>
      <c r="DS53" s="111">
        <f t="shared" si="72"/>
        <v>0</v>
      </c>
      <c r="DT53" s="111">
        <f t="shared" si="72"/>
        <v>63</v>
      </c>
      <c r="DU53" s="111">
        <f t="shared" si="72"/>
        <v>5</v>
      </c>
      <c r="DV53" s="127">
        <f t="shared" si="42"/>
        <v>1125</v>
      </c>
      <c r="DW53" s="128"/>
    </row>
    <row r="54" spans="1:127" s="111" customFormat="1">
      <c r="A54" s="119">
        <v>1996</v>
      </c>
      <c r="B54" s="189"/>
      <c r="C54" s="110">
        <f t="shared" si="60"/>
        <v>55</v>
      </c>
      <c r="D54" s="111">
        <f t="shared" ref="D54:R54" si="77">D13</f>
        <v>435</v>
      </c>
      <c r="E54" s="111">
        <f t="shared" si="77"/>
        <v>21</v>
      </c>
      <c r="F54" s="111">
        <f t="shared" si="77"/>
        <v>6</v>
      </c>
      <c r="G54" s="111">
        <f t="shared" si="77"/>
        <v>42</v>
      </c>
      <c r="H54" s="111">
        <f t="shared" si="77"/>
        <v>23</v>
      </c>
      <c r="I54" s="111">
        <f t="shared" si="28"/>
        <v>0</v>
      </c>
      <c r="J54" s="111">
        <f t="shared" si="77"/>
        <v>64</v>
      </c>
      <c r="K54" s="111">
        <f t="shared" si="77"/>
        <v>0</v>
      </c>
      <c r="L54" s="111">
        <f t="shared" si="77"/>
        <v>0</v>
      </c>
      <c r="M54" s="111">
        <f t="shared" ref="M54:N54" si="78">M13</f>
        <v>0</v>
      </c>
      <c r="N54" s="111">
        <f t="shared" si="78"/>
        <v>0</v>
      </c>
      <c r="O54" s="111">
        <f t="shared" si="30"/>
        <v>216</v>
      </c>
      <c r="P54" s="111">
        <f t="shared" si="77"/>
        <v>24</v>
      </c>
      <c r="Q54" s="111">
        <f t="shared" si="77"/>
        <v>0</v>
      </c>
      <c r="R54" s="112">
        <f t="shared" si="77"/>
        <v>0</v>
      </c>
      <c r="S54" s="127">
        <f t="shared" si="39"/>
        <v>886</v>
      </c>
      <c r="T54" s="111">
        <f t="shared" ref="T54:X58" si="79">T13</f>
        <v>80</v>
      </c>
      <c r="W54" s="111">
        <f t="shared" si="79"/>
        <v>5</v>
      </c>
      <c r="X54" s="112">
        <f t="shared" si="79"/>
        <v>1</v>
      </c>
      <c r="Z54" s="110">
        <f t="shared" si="31"/>
        <v>28254657</v>
      </c>
      <c r="AA54" s="111">
        <f t="shared" si="31"/>
        <v>17341225</v>
      </c>
      <c r="AC54" s="110">
        <f t="shared" ref="AC54:AD54" si="80">AC13</f>
        <v>16786222</v>
      </c>
      <c r="AD54" s="111">
        <f t="shared" si="80"/>
        <v>23305141</v>
      </c>
      <c r="AE54" s="120">
        <f t="shared" ref="AE54:AE72" si="81">SUM(AC54:AD54)</f>
        <v>40091363</v>
      </c>
      <c r="AG54" s="110">
        <f t="shared" si="32"/>
        <v>1554</v>
      </c>
      <c r="AH54" s="111">
        <f t="shared" si="32"/>
        <v>1102</v>
      </c>
      <c r="AI54" s="157">
        <f t="shared" si="32"/>
        <v>3090</v>
      </c>
      <c r="AJ54" s="112">
        <f t="shared" si="32"/>
        <v>682</v>
      </c>
      <c r="AL54" s="121">
        <f t="shared" si="53"/>
        <v>32</v>
      </c>
      <c r="AM54" s="123">
        <f t="shared" si="53"/>
        <v>143.5</v>
      </c>
      <c r="AN54" s="120">
        <f t="shared" si="63"/>
        <v>176</v>
      </c>
      <c r="AO54" s="122">
        <f t="shared" si="54"/>
        <v>174.5</v>
      </c>
      <c r="AP54" s="122">
        <f t="shared" si="54"/>
        <v>20.5</v>
      </c>
      <c r="AQ54" s="120">
        <f t="shared" si="64"/>
        <v>195</v>
      </c>
      <c r="AR54" s="122"/>
      <c r="AS54" s="122"/>
      <c r="AT54" s="122"/>
      <c r="AU54" s="122"/>
      <c r="AV54" s="123"/>
      <c r="AW54"/>
      <c r="AX54" s="356"/>
      <c r="AY54"/>
      <c r="BA54" s="121">
        <f t="shared" si="33"/>
        <v>1614</v>
      </c>
      <c r="BB54" s="122">
        <f t="shared" si="33"/>
        <v>27254272</v>
      </c>
      <c r="BC54" s="122">
        <f t="shared" si="33"/>
        <v>19080471.272727273</v>
      </c>
      <c r="BD54" s="122"/>
      <c r="BE54" s="111">
        <f t="shared" si="33"/>
        <v>622</v>
      </c>
      <c r="BF54" s="111">
        <f t="shared" si="33"/>
        <v>61</v>
      </c>
      <c r="BG54" s="111">
        <f t="shared" si="33"/>
        <v>26</v>
      </c>
      <c r="BI54" s="122">
        <f t="shared" si="33"/>
        <v>1625530.4</v>
      </c>
      <c r="BJ54" s="122"/>
      <c r="BK54" s="122"/>
      <c r="BL54" s="122"/>
      <c r="BM54" s="112">
        <f t="shared" si="33"/>
        <v>0</v>
      </c>
      <c r="BO54" s="121">
        <f t="shared" si="34"/>
        <v>0</v>
      </c>
      <c r="BP54" s="123">
        <f t="shared" si="34"/>
        <v>149</v>
      </c>
      <c r="BR54" s="236"/>
      <c r="BS54" s="126"/>
      <c r="BT54" s="237"/>
      <c r="BV54" s="110">
        <f t="shared" si="45"/>
        <v>8</v>
      </c>
      <c r="BW54" s="111">
        <f t="shared" si="45"/>
        <v>41</v>
      </c>
      <c r="BX54" s="111">
        <f t="shared" si="45"/>
        <v>0</v>
      </c>
      <c r="BY54" s="111">
        <f t="shared" si="45"/>
        <v>0</v>
      </c>
      <c r="BZ54" s="111">
        <f t="shared" si="45"/>
        <v>0</v>
      </c>
      <c r="CA54" s="111">
        <f t="shared" si="45"/>
        <v>0</v>
      </c>
      <c r="CB54" s="111">
        <f t="shared" si="45"/>
        <v>0</v>
      </c>
      <c r="CD54" s="111">
        <f t="shared" si="45"/>
        <v>50</v>
      </c>
      <c r="CE54" s="111">
        <f t="shared" ref="CE54:DU54" si="82">CE13</f>
        <v>0</v>
      </c>
      <c r="CF54" s="111">
        <f t="shared" si="82"/>
        <v>8</v>
      </c>
      <c r="CG54" s="111">
        <f t="shared" si="82"/>
        <v>0</v>
      </c>
      <c r="CH54" s="111">
        <f t="shared" si="82"/>
        <v>0</v>
      </c>
      <c r="CI54" s="111">
        <f t="shared" si="82"/>
        <v>10</v>
      </c>
      <c r="CJ54" s="111">
        <f t="shared" si="82"/>
        <v>68</v>
      </c>
      <c r="CL54" s="111">
        <f t="shared" ref="CL54" si="83">CL13</f>
        <v>0</v>
      </c>
      <c r="CM54" s="111">
        <f t="shared" si="82"/>
        <v>0</v>
      </c>
      <c r="CN54" s="111">
        <f t="shared" si="82"/>
        <v>0</v>
      </c>
      <c r="CO54" s="111">
        <f t="shared" si="82"/>
        <v>20</v>
      </c>
      <c r="CP54" s="111">
        <f t="shared" ref="CP54" si="84">CP13</f>
        <v>0</v>
      </c>
      <c r="CQ54" s="111">
        <f t="shared" si="82"/>
        <v>0</v>
      </c>
      <c r="CS54" s="111">
        <f t="shared" si="82"/>
        <v>17</v>
      </c>
      <c r="CT54" s="111">
        <f t="shared" si="82"/>
        <v>86</v>
      </c>
      <c r="CU54" s="111">
        <f t="shared" si="82"/>
        <v>25</v>
      </c>
      <c r="CV54" s="111">
        <f t="shared" si="82"/>
        <v>12</v>
      </c>
      <c r="CW54" s="111">
        <f t="shared" si="82"/>
        <v>0</v>
      </c>
      <c r="CX54" s="111">
        <f t="shared" ref="CX54" si="85">CX13</f>
        <v>0</v>
      </c>
      <c r="CY54" s="111">
        <f t="shared" si="82"/>
        <v>0</v>
      </c>
      <c r="CZ54" s="111">
        <f t="shared" si="82"/>
        <v>0</v>
      </c>
      <c r="DA54" s="111">
        <f t="shared" si="82"/>
        <v>0</v>
      </c>
      <c r="DB54" s="111">
        <f t="shared" si="82"/>
        <v>29</v>
      </c>
      <c r="DC54" s="111">
        <f t="shared" si="82"/>
        <v>0</v>
      </c>
      <c r="DD54" s="111">
        <f t="shared" si="82"/>
        <v>0</v>
      </c>
      <c r="DE54" s="111">
        <f t="shared" si="82"/>
        <v>0</v>
      </c>
      <c r="DF54" s="111">
        <f t="shared" si="82"/>
        <v>0</v>
      </c>
      <c r="DG54" s="111">
        <f t="shared" si="82"/>
        <v>14</v>
      </c>
      <c r="DH54" s="111">
        <f t="shared" si="82"/>
        <v>3</v>
      </c>
      <c r="DI54" s="111">
        <f t="shared" si="82"/>
        <v>4</v>
      </c>
      <c r="DJ54" s="111">
        <f t="shared" si="82"/>
        <v>0</v>
      </c>
      <c r="DK54" s="111">
        <f t="shared" ref="DK54" si="86">DK13</f>
        <v>0</v>
      </c>
      <c r="DL54" s="111">
        <f t="shared" si="82"/>
        <v>0</v>
      </c>
      <c r="DM54" s="111">
        <f t="shared" si="82"/>
        <v>31</v>
      </c>
      <c r="DN54" s="111">
        <f t="shared" si="82"/>
        <v>0</v>
      </c>
      <c r="DO54" s="111">
        <f t="shared" si="82"/>
        <v>13</v>
      </c>
      <c r="DP54" s="111">
        <f t="shared" si="82"/>
        <v>0</v>
      </c>
      <c r="DQ54" s="111">
        <f t="shared" si="82"/>
        <v>0</v>
      </c>
      <c r="DS54" s="111">
        <f t="shared" si="82"/>
        <v>0</v>
      </c>
      <c r="DT54" s="111">
        <f t="shared" si="82"/>
        <v>44</v>
      </c>
      <c r="DU54" s="111">
        <f t="shared" si="82"/>
        <v>0</v>
      </c>
      <c r="DV54" s="127">
        <f t="shared" si="42"/>
        <v>483</v>
      </c>
      <c r="DW54" s="128"/>
    </row>
    <row r="55" spans="1:127" s="111" customFormat="1">
      <c r="A55" s="119">
        <v>1997</v>
      </c>
      <c r="B55" s="189"/>
      <c r="C55" s="110">
        <f t="shared" si="60"/>
        <v>78</v>
      </c>
      <c r="D55" s="111">
        <f t="shared" ref="D55:R55" si="87">D14</f>
        <v>468</v>
      </c>
      <c r="E55" s="111">
        <f t="shared" si="87"/>
        <v>74</v>
      </c>
      <c r="F55" s="111">
        <f t="shared" si="87"/>
        <v>11</v>
      </c>
      <c r="G55" s="111">
        <f t="shared" si="87"/>
        <v>52</v>
      </c>
      <c r="H55" s="111">
        <f t="shared" si="87"/>
        <v>27</v>
      </c>
      <c r="I55" s="111">
        <f t="shared" si="28"/>
        <v>2</v>
      </c>
      <c r="J55" s="111">
        <f t="shared" si="87"/>
        <v>418</v>
      </c>
      <c r="K55" s="111">
        <f t="shared" si="87"/>
        <v>3</v>
      </c>
      <c r="L55" s="111">
        <f t="shared" si="87"/>
        <v>7</v>
      </c>
      <c r="M55" s="111">
        <f t="shared" ref="M55:N55" si="88">M14</f>
        <v>0</v>
      </c>
      <c r="N55" s="111">
        <f t="shared" si="88"/>
        <v>0</v>
      </c>
      <c r="O55" s="111">
        <f t="shared" si="30"/>
        <v>361</v>
      </c>
      <c r="P55" s="111">
        <f t="shared" si="87"/>
        <v>20</v>
      </c>
      <c r="Q55" s="111">
        <f t="shared" si="87"/>
        <v>4</v>
      </c>
      <c r="R55" s="112">
        <f t="shared" si="87"/>
        <v>0</v>
      </c>
      <c r="S55" s="127">
        <f t="shared" si="39"/>
        <v>1525</v>
      </c>
      <c r="T55" s="111">
        <f t="shared" si="79"/>
        <v>110</v>
      </c>
      <c r="W55" s="111">
        <f t="shared" si="79"/>
        <v>20</v>
      </c>
      <c r="X55" s="112">
        <f t="shared" si="79"/>
        <v>15</v>
      </c>
      <c r="Y55" s="161"/>
      <c r="Z55" s="110">
        <f t="shared" ref="Z55:AA58" si="89">Z14</f>
        <v>30770174</v>
      </c>
      <c r="AA55" s="111">
        <f t="shared" si="89"/>
        <v>26881959</v>
      </c>
      <c r="AC55" s="110">
        <f t="shared" si="31"/>
        <v>18984335</v>
      </c>
      <c r="AD55" s="111">
        <f t="shared" si="31"/>
        <v>35220333</v>
      </c>
      <c r="AE55" s="120">
        <f t="shared" si="81"/>
        <v>54204668</v>
      </c>
      <c r="AG55" s="110">
        <f t="shared" si="32"/>
        <v>2146</v>
      </c>
      <c r="AH55" s="111">
        <f t="shared" si="32"/>
        <v>907</v>
      </c>
      <c r="AI55" s="157">
        <f t="shared" si="32"/>
        <v>3460</v>
      </c>
      <c r="AJ55" s="112">
        <f t="shared" si="32"/>
        <v>1088</v>
      </c>
      <c r="AL55" s="121">
        <f t="shared" si="53"/>
        <v>31.75</v>
      </c>
      <c r="AM55" s="123">
        <f t="shared" si="53"/>
        <v>125</v>
      </c>
      <c r="AN55" s="120">
        <f t="shared" si="63"/>
        <v>157</v>
      </c>
      <c r="AO55" s="122">
        <f t="shared" si="54"/>
        <v>168</v>
      </c>
      <c r="AP55" s="122">
        <f t="shared" si="54"/>
        <v>19</v>
      </c>
      <c r="AQ55" s="120">
        <f t="shared" si="64"/>
        <v>187</v>
      </c>
      <c r="AR55" s="122"/>
      <c r="AS55" s="122"/>
      <c r="AT55" s="122"/>
      <c r="AU55" s="122"/>
      <c r="AV55" s="123"/>
      <c r="AW55"/>
      <c r="AX55" s="356"/>
      <c r="AY55"/>
      <c r="BA55" s="121">
        <f t="shared" si="33"/>
        <v>1625</v>
      </c>
      <c r="BB55" s="122">
        <f t="shared" si="33"/>
        <v>27240683.5</v>
      </c>
      <c r="BC55" s="122">
        <f t="shared" si="33"/>
        <v>19264853.333333332</v>
      </c>
      <c r="BD55" s="122"/>
      <c r="BE55" s="111">
        <f t="shared" si="33"/>
        <v>939</v>
      </c>
      <c r="BF55" s="111">
        <f t="shared" si="33"/>
        <v>49</v>
      </c>
      <c r="BG55" s="111">
        <f t="shared" si="33"/>
        <v>56</v>
      </c>
      <c r="BI55" s="122">
        <f t="shared" si="33"/>
        <v>2082257.9166666667</v>
      </c>
      <c r="BJ55" s="122"/>
      <c r="BK55" s="122"/>
      <c r="BL55" s="122"/>
      <c r="BM55" s="112">
        <f t="shared" si="33"/>
        <v>0</v>
      </c>
      <c r="BO55" s="121">
        <f t="shared" si="34"/>
        <v>0</v>
      </c>
      <c r="BP55" s="123">
        <f t="shared" si="34"/>
        <v>148.90909090909091</v>
      </c>
      <c r="BR55" s="244"/>
      <c r="BS55" s="162"/>
      <c r="BT55" s="245"/>
      <c r="BV55" s="110"/>
      <c r="DV55" s="127">
        <f t="shared" si="42"/>
        <v>0</v>
      </c>
      <c r="DW55" s="128"/>
    </row>
    <row r="56" spans="1:127" s="111" customFormat="1">
      <c r="A56" s="119">
        <v>1998</v>
      </c>
      <c r="B56" s="189"/>
      <c r="C56" s="110">
        <f t="shared" si="60"/>
        <v>114</v>
      </c>
      <c r="D56" s="111">
        <f t="shared" ref="D56:R56" si="90">D15</f>
        <v>494</v>
      </c>
      <c r="E56" s="111">
        <f t="shared" si="90"/>
        <v>80</v>
      </c>
      <c r="F56" s="111">
        <f t="shared" si="90"/>
        <v>18</v>
      </c>
      <c r="G56" s="111">
        <f t="shared" si="90"/>
        <v>47</v>
      </c>
      <c r="H56" s="111">
        <f t="shared" si="90"/>
        <v>48</v>
      </c>
      <c r="I56" s="111">
        <f t="shared" si="28"/>
        <v>0</v>
      </c>
      <c r="J56" s="111">
        <f t="shared" si="90"/>
        <v>676</v>
      </c>
      <c r="K56" s="111">
        <f t="shared" si="90"/>
        <v>21</v>
      </c>
      <c r="L56" s="111">
        <f t="shared" si="90"/>
        <v>35</v>
      </c>
      <c r="M56" s="111">
        <f t="shared" ref="M56:N56" si="91">M15</f>
        <v>0</v>
      </c>
      <c r="N56" s="111">
        <f t="shared" si="91"/>
        <v>0</v>
      </c>
      <c r="O56" s="111">
        <f t="shared" si="30"/>
        <v>371</v>
      </c>
      <c r="P56" s="111">
        <f t="shared" si="90"/>
        <v>21</v>
      </c>
      <c r="Q56" s="111">
        <f t="shared" si="90"/>
        <v>5</v>
      </c>
      <c r="R56" s="112">
        <f t="shared" si="90"/>
        <v>2</v>
      </c>
      <c r="S56" s="127">
        <f t="shared" si="39"/>
        <v>1932</v>
      </c>
      <c r="T56" s="111">
        <f t="shared" si="79"/>
        <v>10</v>
      </c>
      <c r="U56" s="111">
        <f t="shared" ref="U56:V70" si="92">U15</f>
        <v>171</v>
      </c>
      <c r="W56" s="111">
        <f t="shared" si="79"/>
        <v>41</v>
      </c>
      <c r="X56" s="112">
        <f t="shared" si="79"/>
        <v>17</v>
      </c>
      <c r="Y56" s="161"/>
      <c r="Z56" s="110">
        <f t="shared" si="89"/>
        <v>27469976</v>
      </c>
      <c r="AA56" s="111">
        <f t="shared" si="89"/>
        <v>47762042</v>
      </c>
      <c r="AC56" s="110">
        <f t="shared" ref="AC56:AD64" si="93">AC15</f>
        <v>22379175</v>
      </c>
      <c r="AD56" s="111">
        <f t="shared" si="93"/>
        <v>48860910</v>
      </c>
      <c r="AE56" s="120">
        <f t="shared" si="81"/>
        <v>71240085</v>
      </c>
      <c r="AG56" s="110">
        <f t="shared" ref="AG56:AJ58" si="94">AG15</f>
        <v>2725</v>
      </c>
      <c r="AH56" s="111">
        <f t="shared" si="94"/>
        <v>455</v>
      </c>
      <c r="AI56" s="157">
        <f t="shared" si="94"/>
        <v>3582</v>
      </c>
      <c r="AJ56" s="112">
        <f t="shared" si="94"/>
        <v>876</v>
      </c>
      <c r="AL56" s="121">
        <f t="shared" si="53"/>
        <v>33.5</v>
      </c>
      <c r="AM56" s="123">
        <f t="shared" si="53"/>
        <v>114</v>
      </c>
      <c r="AN56" s="120">
        <f t="shared" si="63"/>
        <v>148</v>
      </c>
      <c r="AO56" s="122">
        <f t="shared" si="54"/>
        <v>139.5</v>
      </c>
      <c r="AP56" s="122">
        <f t="shared" si="54"/>
        <v>15.5</v>
      </c>
      <c r="AQ56" s="120">
        <f t="shared" si="64"/>
        <v>155</v>
      </c>
      <c r="AR56" s="122"/>
      <c r="AS56" s="122"/>
      <c r="AT56" s="122"/>
      <c r="AU56" s="122"/>
      <c r="AV56" s="123"/>
      <c r="AW56"/>
      <c r="AX56" s="356"/>
      <c r="AY56"/>
      <c r="BA56" s="121">
        <f t="shared" ref="BA56:BC58" si="95">BA15</f>
        <v>1606</v>
      </c>
      <c r="BB56" s="122">
        <f t="shared" si="95"/>
        <v>27496161.333333332</v>
      </c>
      <c r="BC56" s="122">
        <f t="shared" si="95"/>
        <v>19375569.454545453</v>
      </c>
      <c r="BD56" s="122"/>
      <c r="BE56" s="111">
        <f t="shared" ref="BE56:BI57" si="96">BE15</f>
        <v>1574</v>
      </c>
      <c r="BF56" s="111">
        <f t="shared" si="96"/>
        <v>95</v>
      </c>
      <c r="BG56" s="111">
        <f t="shared" si="96"/>
        <v>87</v>
      </c>
      <c r="BI56" s="122">
        <f t="shared" si="96"/>
        <v>3228633.9166666665</v>
      </c>
      <c r="BJ56" s="122"/>
      <c r="BK56" s="122"/>
      <c r="BL56" s="122"/>
      <c r="BM56" s="112">
        <f t="shared" ref="BM56:BM71" si="97">BM15</f>
        <v>0</v>
      </c>
      <c r="BO56" s="121">
        <f t="shared" si="34"/>
        <v>0</v>
      </c>
      <c r="BP56" s="123">
        <f t="shared" si="34"/>
        <v>149.83333333333334</v>
      </c>
      <c r="BR56" s="236"/>
      <c r="BS56" s="126"/>
      <c r="BT56" s="237"/>
      <c r="BV56" s="110"/>
      <c r="DV56" s="127">
        <f t="shared" si="42"/>
        <v>0</v>
      </c>
      <c r="DW56" s="128"/>
    </row>
    <row r="57" spans="1:127" s="111" customFormat="1">
      <c r="A57" s="119">
        <v>1999</v>
      </c>
      <c r="B57" s="189"/>
      <c r="C57" s="163">
        <f t="shared" si="60"/>
        <v>85</v>
      </c>
      <c r="D57" s="157">
        <f t="shared" ref="D57:R57" si="98">D16</f>
        <v>396</v>
      </c>
      <c r="E57" s="157">
        <f t="shared" si="98"/>
        <v>36</v>
      </c>
      <c r="F57" s="157">
        <f t="shared" si="98"/>
        <v>10</v>
      </c>
      <c r="G57" s="157">
        <f t="shared" si="98"/>
        <v>34</v>
      </c>
      <c r="H57" s="157">
        <f t="shared" si="98"/>
        <v>24</v>
      </c>
      <c r="I57" s="157">
        <f t="shared" si="28"/>
        <v>1</v>
      </c>
      <c r="J57" s="157">
        <f t="shared" si="98"/>
        <v>130</v>
      </c>
      <c r="K57" s="157">
        <f t="shared" si="98"/>
        <v>6</v>
      </c>
      <c r="L57" s="157">
        <f t="shared" si="98"/>
        <v>8</v>
      </c>
      <c r="M57" s="157">
        <f t="shared" ref="M57:N57" si="99">M16</f>
        <v>0</v>
      </c>
      <c r="N57" s="157">
        <f t="shared" si="99"/>
        <v>0</v>
      </c>
      <c r="O57" s="157">
        <f t="shared" si="30"/>
        <v>142</v>
      </c>
      <c r="P57" s="157">
        <f t="shared" si="98"/>
        <v>62</v>
      </c>
      <c r="Q57" s="157">
        <f t="shared" si="98"/>
        <v>11</v>
      </c>
      <c r="R57" s="164">
        <f t="shared" si="98"/>
        <v>1</v>
      </c>
      <c r="S57" s="127">
        <f t="shared" si="39"/>
        <v>946</v>
      </c>
      <c r="T57" s="111">
        <f t="shared" si="79"/>
        <v>20</v>
      </c>
      <c r="U57" s="111">
        <f t="shared" si="92"/>
        <v>291</v>
      </c>
      <c r="W57" s="111">
        <f t="shared" si="79"/>
        <v>0</v>
      </c>
      <c r="X57" s="112">
        <f t="shared" si="79"/>
        <v>7</v>
      </c>
      <c r="Y57" s="161"/>
      <c r="Z57" s="110">
        <f t="shared" si="89"/>
        <v>27807626</v>
      </c>
      <c r="AA57" s="111">
        <f t="shared" si="89"/>
        <v>18528891</v>
      </c>
      <c r="AC57" s="110">
        <f t="shared" si="93"/>
        <v>16039691</v>
      </c>
      <c r="AD57" s="111">
        <f t="shared" si="93"/>
        <v>27377122</v>
      </c>
      <c r="AE57" s="120">
        <f t="shared" si="81"/>
        <v>43416813</v>
      </c>
      <c r="AG57" s="110">
        <f t="shared" si="94"/>
        <v>1798</v>
      </c>
      <c r="AH57" s="111">
        <f t="shared" si="94"/>
        <v>1087</v>
      </c>
      <c r="AI57" s="157">
        <f t="shared" si="94"/>
        <v>3180</v>
      </c>
      <c r="AJ57" s="112">
        <f t="shared" si="94"/>
        <v>640</v>
      </c>
      <c r="AL57" s="121">
        <f t="shared" si="53"/>
        <v>36.25</v>
      </c>
      <c r="AM57" s="123">
        <f t="shared" si="53"/>
        <v>101.75</v>
      </c>
      <c r="AN57" s="120">
        <f t="shared" si="63"/>
        <v>138</v>
      </c>
      <c r="AO57" s="122">
        <f t="shared" si="54"/>
        <v>110.2</v>
      </c>
      <c r="AP57" s="122">
        <f t="shared" si="54"/>
        <v>12.4</v>
      </c>
      <c r="AQ57" s="120">
        <f t="shared" si="64"/>
        <v>123</v>
      </c>
      <c r="AR57" s="122"/>
      <c r="AS57" s="122"/>
      <c r="AT57" s="122"/>
      <c r="AU57" s="122"/>
      <c r="AV57" s="123"/>
      <c r="AW57"/>
      <c r="AX57" s="356"/>
      <c r="AY57"/>
      <c r="BA57" s="121">
        <f t="shared" si="95"/>
        <v>1641</v>
      </c>
      <c r="BB57" s="122">
        <f t="shared" si="95"/>
        <v>28106065.5</v>
      </c>
      <c r="BC57" s="122">
        <f t="shared" si="95"/>
        <v>19814570.666666668</v>
      </c>
      <c r="BD57" s="122"/>
      <c r="BE57" s="111">
        <f t="shared" si="96"/>
        <v>590</v>
      </c>
      <c r="BF57" s="111">
        <f t="shared" si="96"/>
        <v>108</v>
      </c>
      <c r="BG57" s="111">
        <f t="shared" si="96"/>
        <v>39</v>
      </c>
      <c r="BI57" s="122">
        <f t="shared" si="96"/>
        <v>1573492.75</v>
      </c>
      <c r="BJ57" s="122"/>
      <c r="BK57" s="122"/>
      <c r="BL57" s="122"/>
      <c r="BM57" s="112">
        <f t="shared" si="97"/>
        <v>0</v>
      </c>
      <c r="BO57" s="121">
        <f t="shared" si="34"/>
        <v>0</v>
      </c>
      <c r="BP57" s="123">
        <f t="shared" si="34"/>
        <v>150.41666666666666</v>
      </c>
      <c r="BR57" s="244"/>
      <c r="BS57" s="126"/>
      <c r="BT57" s="237"/>
      <c r="BV57" s="110"/>
      <c r="DV57" s="127">
        <f t="shared" si="42"/>
        <v>0</v>
      </c>
      <c r="DW57" s="128"/>
    </row>
    <row r="58" spans="1:127" s="111" customFormat="1">
      <c r="A58" s="165">
        <v>2000</v>
      </c>
      <c r="B58" s="226"/>
      <c r="C58" s="110">
        <f t="shared" si="60"/>
        <v>52</v>
      </c>
      <c r="D58" s="111">
        <f>D17</f>
        <v>337</v>
      </c>
      <c r="E58" s="111">
        <f>E17</f>
        <v>30</v>
      </c>
      <c r="F58" s="111">
        <f>F17</f>
        <v>12</v>
      </c>
      <c r="G58" s="111">
        <f>G17</f>
        <v>25</v>
      </c>
      <c r="H58" s="111">
        <f t="shared" ref="H58:R58" si="100">H17</f>
        <v>11</v>
      </c>
      <c r="I58" s="111">
        <f t="shared" si="28"/>
        <v>0</v>
      </c>
      <c r="J58" s="111">
        <f t="shared" si="100"/>
        <v>140</v>
      </c>
      <c r="K58" s="111">
        <f t="shared" si="100"/>
        <v>1</v>
      </c>
      <c r="L58" s="111">
        <f t="shared" si="100"/>
        <v>0</v>
      </c>
      <c r="M58" s="111">
        <f t="shared" ref="M58:N58" si="101">M17</f>
        <v>0</v>
      </c>
      <c r="N58" s="111">
        <f t="shared" si="101"/>
        <v>0</v>
      </c>
      <c r="O58" s="111">
        <f t="shared" si="30"/>
        <v>215</v>
      </c>
      <c r="P58" s="111">
        <f t="shared" si="100"/>
        <v>16</v>
      </c>
      <c r="Q58" s="111">
        <f t="shared" si="100"/>
        <v>1</v>
      </c>
      <c r="R58" s="112">
        <f t="shared" si="100"/>
        <v>0</v>
      </c>
      <c r="S58" s="127">
        <f t="shared" si="39"/>
        <v>840</v>
      </c>
      <c r="T58" s="111">
        <f t="shared" si="79"/>
        <v>70</v>
      </c>
      <c r="U58" s="111">
        <f t="shared" si="92"/>
        <v>208</v>
      </c>
      <c r="W58" s="111">
        <f t="shared" si="79"/>
        <v>1</v>
      </c>
      <c r="X58" s="112">
        <f t="shared" si="79"/>
        <v>5</v>
      </c>
      <c r="Y58" s="161"/>
      <c r="Z58" s="110">
        <f t="shared" si="89"/>
        <v>26800585</v>
      </c>
      <c r="AA58" s="111">
        <f t="shared" si="89"/>
        <v>15653550</v>
      </c>
      <c r="AC58" s="110">
        <f t="shared" si="93"/>
        <v>14397070</v>
      </c>
      <c r="AD58" s="111">
        <f t="shared" si="93"/>
        <v>22300338</v>
      </c>
      <c r="AE58" s="120">
        <f t="shared" si="81"/>
        <v>36697408</v>
      </c>
      <c r="AG58" s="110">
        <f t="shared" si="94"/>
        <v>1615</v>
      </c>
      <c r="AH58" s="111">
        <f t="shared" si="94"/>
        <v>992</v>
      </c>
      <c r="AI58" s="157">
        <f t="shared" si="94"/>
        <v>3074</v>
      </c>
      <c r="AJ58" s="112">
        <f t="shared" si="94"/>
        <v>560</v>
      </c>
      <c r="AL58" s="121">
        <f t="shared" si="53"/>
        <v>35.75</v>
      </c>
      <c r="AM58" s="123">
        <f t="shared" si="53"/>
        <v>92</v>
      </c>
      <c r="AN58" s="120">
        <f t="shared" si="63"/>
        <v>128</v>
      </c>
      <c r="AO58" s="122">
        <f t="shared" si="54"/>
        <v>90</v>
      </c>
      <c r="AP58" s="122">
        <f t="shared" si="54"/>
        <v>12.5</v>
      </c>
      <c r="AQ58" s="120">
        <f t="shared" si="64"/>
        <v>103</v>
      </c>
      <c r="AR58" s="122"/>
      <c r="AS58" s="122">
        <f t="shared" ref="AS58:AV59" si="102">AS17</f>
        <v>5</v>
      </c>
      <c r="AT58" s="122">
        <f t="shared" si="102"/>
        <v>8</v>
      </c>
      <c r="AU58" s="122">
        <f t="shared" si="102"/>
        <v>0</v>
      </c>
      <c r="AV58" s="123">
        <f t="shared" si="102"/>
        <v>14</v>
      </c>
      <c r="AW58"/>
      <c r="AX58" s="356"/>
      <c r="AY58"/>
      <c r="BA58" s="121">
        <f t="shared" si="95"/>
        <v>1684</v>
      </c>
      <c r="BB58" s="122">
        <f t="shared" si="95"/>
        <v>27938841</v>
      </c>
      <c r="BC58" s="122"/>
      <c r="BD58" s="122"/>
      <c r="BE58" s="111">
        <f t="shared" ref="BE58:BI64" si="103">BE17</f>
        <v>631</v>
      </c>
      <c r="BF58" s="111">
        <f t="shared" si="103"/>
        <v>59</v>
      </c>
      <c r="BG58" s="111">
        <f t="shared" si="103"/>
        <v>28</v>
      </c>
      <c r="BI58" s="122">
        <f t="shared" si="103"/>
        <v>1505343</v>
      </c>
      <c r="BJ58" s="122"/>
      <c r="BK58" s="122"/>
      <c r="BL58" s="122"/>
      <c r="BM58" s="112">
        <f t="shared" si="97"/>
        <v>4109</v>
      </c>
      <c r="BO58" s="121">
        <f t="shared" si="34"/>
        <v>0</v>
      </c>
      <c r="BP58" s="123">
        <f t="shared" si="34"/>
        <v>156</v>
      </c>
      <c r="BR58" s="246"/>
      <c r="BS58" s="166"/>
      <c r="BT58" s="247"/>
      <c r="BV58" s="110"/>
      <c r="DV58" s="127">
        <f t="shared" si="42"/>
        <v>0</v>
      </c>
      <c r="DW58" s="128"/>
    </row>
    <row r="59" spans="1:127" s="111" customFormat="1">
      <c r="A59" s="165">
        <v>2001</v>
      </c>
      <c r="B59" s="226"/>
      <c r="C59" s="163">
        <f t="shared" ref="C59:C70" si="104">C18</f>
        <v>60</v>
      </c>
      <c r="D59" s="157">
        <f t="shared" ref="D59:R60" si="105">D18</f>
        <v>392</v>
      </c>
      <c r="E59" s="157">
        <f t="shared" si="105"/>
        <v>42</v>
      </c>
      <c r="F59" s="157">
        <f t="shared" si="105"/>
        <v>6</v>
      </c>
      <c r="G59" s="157">
        <f t="shared" si="105"/>
        <v>37</v>
      </c>
      <c r="H59" s="157">
        <f t="shared" si="105"/>
        <v>17</v>
      </c>
      <c r="I59" s="157">
        <f t="shared" si="28"/>
        <v>0</v>
      </c>
      <c r="J59" s="157">
        <f t="shared" si="105"/>
        <v>139</v>
      </c>
      <c r="K59" s="157">
        <f t="shared" si="105"/>
        <v>3</v>
      </c>
      <c r="L59" s="157">
        <f t="shared" si="105"/>
        <v>3</v>
      </c>
      <c r="M59" s="157">
        <f t="shared" ref="M59:N59" si="106">M18</f>
        <v>0</v>
      </c>
      <c r="N59" s="157">
        <f t="shared" si="106"/>
        <v>0</v>
      </c>
      <c r="O59" s="157">
        <f t="shared" si="30"/>
        <v>227</v>
      </c>
      <c r="P59" s="157">
        <f t="shared" si="105"/>
        <v>14</v>
      </c>
      <c r="Q59" s="157">
        <f t="shared" si="105"/>
        <v>2</v>
      </c>
      <c r="R59" s="164">
        <f t="shared" si="105"/>
        <v>0</v>
      </c>
      <c r="S59" s="127">
        <f t="shared" si="39"/>
        <v>942</v>
      </c>
      <c r="T59" s="163">
        <f t="shared" ref="T59:X63" si="107">T18</f>
        <v>159</v>
      </c>
      <c r="U59" s="157">
        <f t="shared" si="92"/>
        <v>182</v>
      </c>
      <c r="V59" s="157"/>
      <c r="W59" s="157">
        <f t="shared" si="107"/>
        <v>0</v>
      </c>
      <c r="X59" s="164">
        <f t="shared" si="107"/>
        <v>7</v>
      </c>
      <c r="Y59" s="161"/>
      <c r="Z59" s="163">
        <f t="shared" ref="Z59:AA64" si="108">Z18</f>
        <v>27378237</v>
      </c>
      <c r="AA59" s="157">
        <f t="shared" si="108"/>
        <v>18779911</v>
      </c>
      <c r="AB59" s="157"/>
      <c r="AC59" s="163">
        <f t="shared" si="93"/>
        <v>17041576</v>
      </c>
      <c r="AD59" s="164">
        <f t="shared" si="93"/>
        <v>24103186</v>
      </c>
      <c r="AE59" s="120">
        <f t="shared" si="81"/>
        <v>41144762</v>
      </c>
      <c r="AG59" s="163">
        <f t="shared" ref="AG59:AJ64" si="109">AG18</f>
        <v>1855</v>
      </c>
      <c r="AH59" s="157">
        <f t="shared" si="109"/>
        <v>942</v>
      </c>
      <c r="AI59" s="157">
        <f t="shared" si="109"/>
        <v>3172</v>
      </c>
      <c r="AJ59" s="164">
        <f t="shared" si="109"/>
        <v>596</v>
      </c>
      <c r="AL59" s="121">
        <f t="shared" si="53"/>
        <v>34</v>
      </c>
      <c r="AM59" s="123">
        <f t="shared" si="53"/>
        <v>81.25</v>
      </c>
      <c r="AN59" s="120">
        <f t="shared" si="63"/>
        <v>115</v>
      </c>
      <c r="AO59" s="122">
        <f t="shared" si="54"/>
        <v>66.25</v>
      </c>
      <c r="AP59" s="122">
        <f t="shared" si="54"/>
        <v>9</v>
      </c>
      <c r="AQ59" s="120">
        <f t="shared" si="64"/>
        <v>75</v>
      </c>
      <c r="AR59" s="122">
        <f t="shared" ref="AR59:AV71" si="110">AR18</f>
        <v>105</v>
      </c>
      <c r="AS59" s="122">
        <f t="shared" si="102"/>
        <v>54.625</v>
      </c>
      <c r="AT59" s="122">
        <f t="shared" si="102"/>
        <v>121.625</v>
      </c>
      <c r="AU59" s="122">
        <f t="shared" si="102"/>
        <v>33.75</v>
      </c>
      <c r="AV59" s="123">
        <f t="shared" si="102"/>
        <v>212</v>
      </c>
      <c r="AW59"/>
      <c r="AX59" s="356"/>
      <c r="AY59"/>
      <c r="BA59" s="121">
        <f t="shared" ref="BA59:BB65" si="111">BA18</f>
        <v>1698</v>
      </c>
      <c r="BB59" s="122">
        <f t="shared" si="111"/>
        <v>34783581.166666664</v>
      </c>
      <c r="BC59" s="122"/>
      <c r="BD59" s="122"/>
      <c r="BE59" s="157">
        <f t="shared" si="103"/>
        <v>650</v>
      </c>
      <c r="BF59" s="157">
        <f t="shared" si="103"/>
        <v>50</v>
      </c>
      <c r="BG59" s="157">
        <f t="shared" si="103"/>
        <v>45</v>
      </c>
      <c r="BH59" s="157"/>
      <c r="BI59" s="122">
        <f t="shared" si="103"/>
        <v>1788553.4166666667</v>
      </c>
      <c r="BJ59" s="122"/>
      <c r="BK59" s="122"/>
      <c r="BL59" s="122"/>
      <c r="BM59" s="112">
        <f t="shared" si="97"/>
        <v>4168</v>
      </c>
      <c r="BO59" s="121">
        <f t="shared" ref="BO59:BP65" si="112">BO18</f>
        <v>0</v>
      </c>
      <c r="BP59" s="123">
        <f t="shared" si="112"/>
        <v>158.41666666666666</v>
      </c>
      <c r="BR59" s="246"/>
      <c r="BS59" s="166"/>
      <c r="BT59" s="247"/>
      <c r="BV59" s="110"/>
      <c r="DV59" s="127">
        <f t="shared" ref="DV59:DV72" si="113">SUM(BV59:DU59)</f>
        <v>0</v>
      </c>
      <c r="DW59" s="128"/>
    </row>
    <row r="60" spans="1:127" s="111" customFormat="1">
      <c r="A60" s="189">
        <v>2002</v>
      </c>
      <c r="B60" s="189"/>
      <c r="C60" s="163">
        <f t="shared" si="104"/>
        <v>48</v>
      </c>
      <c r="D60" s="157">
        <f t="shared" si="105"/>
        <v>361</v>
      </c>
      <c r="E60" s="157">
        <f t="shared" si="105"/>
        <v>22</v>
      </c>
      <c r="F60" s="157">
        <f t="shared" si="105"/>
        <v>12</v>
      </c>
      <c r="G60" s="157">
        <f t="shared" si="105"/>
        <v>33</v>
      </c>
      <c r="H60" s="157">
        <f t="shared" si="105"/>
        <v>20</v>
      </c>
      <c r="I60" s="157">
        <f t="shared" si="28"/>
        <v>0</v>
      </c>
      <c r="J60" s="157">
        <f t="shared" si="105"/>
        <v>447</v>
      </c>
      <c r="K60" s="157">
        <f t="shared" si="105"/>
        <v>14</v>
      </c>
      <c r="L60" s="157">
        <f t="shared" si="105"/>
        <v>2</v>
      </c>
      <c r="M60" s="157">
        <f t="shared" ref="M60:N60" si="114">M19</f>
        <v>1</v>
      </c>
      <c r="N60" s="157">
        <f t="shared" si="114"/>
        <v>0</v>
      </c>
      <c r="O60" s="157">
        <f t="shared" si="30"/>
        <v>121</v>
      </c>
      <c r="P60" s="157">
        <f t="shared" si="105"/>
        <v>13</v>
      </c>
      <c r="Q60" s="157">
        <f t="shared" si="105"/>
        <v>4</v>
      </c>
      <c r="R60" s="164">
        <f t="shared" si="105"/>
        <v>12</v>
      </c>
      <c r="S60" s="127">
        <f t="shared" si="39"/>
        <v>1110</v>
      </c>
      <c r="T60" s="163">
        <f t="shared" si="107"/>
        <v>24</v>
      </c>
      <c r="U60" s="157">
        <f t="shared" si="92"/>
        <v>271</v>
      </c>
      <c r="V60" s="157"/>
      <c r="W60" s="157">
        <f t="shared" si="107"/>
        <v>0</v>
      </c>
      <c r="X60" s="164">
        <f t="shared" si="107"/>
        <v>10</v>
      </c>
      <c r="Y60" s="161"/>
      <c r="Z60" s="163">
        <f t="shared" si="108"/>
        <v>42922007</v>
      </c>
      <c r="AA60" s="157">
        <f t="shared" si="108"/>
        <v>4685178</v>
      </c>
      <c r="AB60" s="157"/>
      <c r="AC60" s="163">
        <f t="shared" si="93"/>
        <v>13912054</v>
      </c>
      <c r="AD60" s="164">
        <f t="shared" si="93"/>
        <v>6464517</v>
      </c>
      <c r="AE60" s="120">
        <f>SUM(AC60:AD60)</f>
        <v>20376571</v>
      </c>
      <c r="AG60" s="163">
        <f t="shared" si="109"/>
        <v>1787</v>
      </c>
      <c r="AH60" s="157">
        <f t="shared" si="109"/>
        <v>942</v>
      </c>
      <c r="AI60" s="157">
        <f t="shared" si="109"/>
        <v>3099</v>
      </c>
      <c r="AJ60" s="164">
        <f t="shared" si="109"/>
        <v>148</v>
      </c>
      <c r="AL60" s="121">
        <f t="shared" ref="AL60:AM65" si="115">AL19</f>
        <v>34</v>
      </c>
      <c r="AM60" s="122">
        <f t="shared" si="115"/>
        <v>61.5</v>
      </c>
      <c r="AN60" s="120">
        <f t="shared" si="63"/>
        <v>96</v>
      </c>
      <c r="AO60" s="121">
        <f>AO19</f>
        <v>50</v>
      </c>
      <c r="AP60" s="122">
        <f>AP19</f>
        <v>8.25</v>
      </c>
      <c r="AQ60" s="120">
        <f t="shared" si="64"/>
        <v>58</v>
      </c>
      <c r="AR60" s="122">
        <f t="shared" si="110"/>
        <v>153</v>
      </c>
      <c r="AS60" s="122">
        <f t="shared" ref="AS60:AV65" si="116">AS19</f>
        <v>44</v>
      </c>
      <c r="AT60" s="122">
        <f t="shared" si="116"/>
        <v>145.9</v>
      </c>
      <c r="AU60" s="122">
        <f t="shared" si="116"/>
        <v>25.9</v>
      </c>
      <c r="AV60" s="123">
        <f t="shared" si="116"/>
        <v>221.6</v>
      </c>
      <c r="AW60"/>
      <c r="AX60" s="356"/>
      <c r="AY60"/>
      <c r="BA60" s="121">
        <f t="shared" si="111"/>
        <v>1713</v>
      </c>
      <c r="BB60" s="122">
        <f t="shared" si="111"/>
        <v>33795740.166666664</v>
      </c>
      <c r="BC60" s="122"/>
      <c r="BD60" s="122"/>
      <c r="BE60" s="157">
        <f t="shared" si="103"/>
        <v>878</v>
      </c>
      <c r="BF60" s="157">
        <f t="shared" si="103"/>
        <v>50</v>
      </c>
      <c r="BG60" s="157">
        <f t="shared" si="103"/>
        <v>24</v>
      </c>
      <c r="BH60" s="157"/>
      <c r="BI60" s="122">
        <f t="shared" ref="BI60:BI71" si="117">BI19</f>
        <v>2199434.75</v>
      </c>
      <c r="BJ60" s="122"/>
      <c r="BK60" s="122"/>
      <c r="BL60" s="122">
        <f t="shared" ref="BL60:BL71" si="118">BL19</f>
        <v>77.666666666666671</v>
      </c>
      <c r="BM60" s="168">
        <f t="shared" si="97"/>
        <v>4280</v>
      </c>
      <c r="BO60" s="121">
        <f t="shared" si="112"/>
        <v>0</v>
      </c>
      <c r="BP60" s="123">
        <f t="shared" si="112"/>
        <v>156.25</v>
      </c>
      <c r="BR60" s="246"/>
      <c r="BS60" s="166"/>
      <c r="BT60" s="247"/>
      <c r="BV60" s="110">
        <f t="shared" ref="BV60:CD66" si="119">BV19</f>
        <v>28</v>
      </c>
      <c r="BW60" s="111">
        <f t="shared" si="119"/>
        <v>42</v>
      </c>
      <c r="BX60" s="111">
        <f t="shared" si="119"/>
        <v>33</v>
      </c>
      <c r="BY60" s="111">
        <f t="shared" si="119"/>
        <v>0</v>
      </c>
      <c r="BZ60" s="111">
        <f t="shared" si="119"/>
        <v>0</v>
      </c>
      <c r="CA60" s="111">
        <f t="shared" si="119"/>
        <v>0</v>
      </c>
      <c r="CB60" s="111">
        <f t="shared" si="119"/>
        <v>0</v>
      </c>
      <c r="CD60" s="111">
        <f t="shared" si="119"/>
        <v>73</v>
      </c>
      <c r="CE60" s="111">
        <f t="shared" ref="CE60:DU60" si="120">CE19</f>
        <v>0</v>
      </c>
      <c r="CF60" s="111">
        <f t="shared" si="120"/>
        <v>21</v>
      </c>
      <c r="CG60" s="111">
        <f t="shared" si="120"/>
        <v>17</v>
      </c>
      <c r="CH60" s="111">
        <f t="shared" si="120"/>
        <v>0</v>
      </c>
      <c r="CI60" s="111">
        <f t="shared" si="120"/>
        <v>44</v>
      </c>
      <c r="CJ60" s="111">
        <f t="shared" si="120"/>
        <v>86</v>
      </c>
      <c r="CL60" s="111">
        <f t="shared" ref="CL60" si="121">CL19</f>
        <v>0</v>
      </c>
      <c r="CM60" s="111">
        <f t="shared" si="120"/>
        <v>2</v>
      </c>
      <c r="CN60" s="111">
        <f t="shared" si="120"/>
        <v>1</v>
      </c>
      <c r="CO60" s="111">
        <f t="shared" si="120"/>
        <v>61</v>
      </c>
      <c r="CP60" s="111">
        <f t="shared" ref="CP60" si="122">CP19</f>
        <v>0</v>
      </c>
      <c r="CQ60" s="111">
        <f t="shared" si="120"/>
        <v>0</v>
      </c>
      <c r="CS60" s="111">
        <f t="shared" si="120"/>
        <v>22</v>
      </c>
      <c r="CT60" s="111">
        <f t="shared" si="120"/>
        <v>38</v>
      </c>
      <c r="CU60" s="111">
        <f t="shared" si="120"/>
        <v>0</v>
      </c>
      <c r="CV60" s="111">
        <f t="shared" si="120"/>
        <v>57</v>
      </c>
      <c r="CW60" s="111">
        <f t="shared" si="120"/>
        <v>0</v>
      </c>
      <c r="CX60" s="111">
        <f t="shared" ref="CX60" si="123">CX19</f>
        <v>0</v>
      </c>
      <c r="CY60" s="111">
        <f t="shared" si="120"/>
        <v>26</v>
      </c>
      <c r="CZ60" s="111">
        <f t="shared" si="120"/>
        <v>1</v>
      </c>
      <c r="DA60" s="111">
        <f t="shared" si="120"/>
        <v>0</v>
      </c>
      <c r="DB60" s="111">
        <f t="shared" si="120"/>
        <v>113</v>
      </c>
      <c r="DC60" s="111">
        <f t="shared" si="120"/>
        <v>0</v>
      </c>
      <c r="DD60" s="111">
        <f t="shared" si="120"/>
        <v>0</v>
      </c>
      <c r="DE60" s="111">
        <f t="shared" si="120"/>
        <v>0</v>
      </c>
      <c r="DF60" s="111">
        <f t="shared" si="120"/>
        <v>0</v>
      </c>
      <c r="DG60" s="111">
        <f t="shared" si="120"/>
        <v>26</v>
      </c>
      <c r="DH60" s="111">
        <f t="shared" si="120"/>
        <v>6</v>
      </c>
      <c r="DI60" s="111">
        <f t="shared" si="120"/>
        <v>16</v>
      </c>
      <c r="DJ60" s="111">
        <f t="shared" si="120"/>
        <v>8</v>
      </c>
      <c r="DK60" s="111">
        <f t="shared" ref="DK60" si="124">DK19</f>
        <v>0</v>
      </c>
      <c r="DL60" s="111">
        <f t="shared" si="120"/>
        <v>0</v>
      </c>
      <c r="DM60" s="111">
        <f t="shared" si="120"/>
        <v>50</v>
      </c>
      <c r="DN60" s="111">
        <f t="shared" si="120"/>
        <v>0</v>
      </c>
      <c r="DO60" s="111">
        <f t="shared" si="120"/>
        <v>42</v>
      </c>
      <c r="DP60" s="111">
        <f t="shared" si="120"/>
        <v>0</v>
      </c>
      <c r="DQ60" s="111">
        <f t="shared" si="120"/>
        <v>0</v>
      </c>
      <c r="DS60" s="111">
        <f t="shared" si="120"/>
        <v>35</v>
      </c>
      <c r="DT60" s="111">
        <f t="shared" si="120"/>
        <v>12</v>
      </c>
      <c r="DU60" s="111">
        <f t="shared" si="120"/>
        <v>12</v>
      </c>
      <c r="DV60" s="127">
        <f t="shared" si="113"/>
        <v>872</v>
      </c>
      <c r="DW60" s="128"/>
    </row>
    <row r="61" spans="1:127" s="111" customFormat="1">
      <c r="A61" s="189">
        <v>2003</v>
      </c>
      <c r="B61" s="189"/>
      <c r="C61" s="110">
        <f t="shared" si="104"/>
        <v>56</v>
      </c>
      <c r="D61" s="111">
        <f t="shared" ref="D61:D70" si="125">D20</f>
        <v>407</v>
      </c>
      <c r="E61" s="111">
        <f t="shared" ref="E61:R63" si="126">E20</f>
        <v>39</v>
      </c>
      <c r="F61" s="111">
        <f t="shared" si="126"/>
        <v>13</v>
      </c>
      <c r="G61" s="111">
        <f t="shared" si="126"/>
        <v>24</v>
      </c>
      <c r="H61" s="111">
        <f t="shared" si="126"/>
        <v>41</v>
      </c>
      <c r="I61" s="111">
        <f t="shared" si="28"/>
        <v>0</v>
      </c>
      <c r="J61" s="111">
        <f t="shared" si="126"/>
        <v>645</v>
      </c>
      <c r="K61" s="111">
        <f t="shared" si="126"/>
        <v>24</v>
      </c>
      <c r="L61" s="111">
        <f t="shared" si="126"/>
        <v>5</v>
      </c>
      <c r="M61" s="111">
        <f t="shared" ref="M61:N61" si="127">M20</f>
        <v>0</v>
      </c>
      <c r="N61" s="111">
        <f t="shared" si="127"/>
        <v>0</v>
      </c>
      <c r="O61" s="111">
        <f t="shared" si="30"/>
        <v>120</v>
      </c>
      <c r="P61" s="111">
        <f t="shared" si="126"/>
        <v>18</v>
      </c>
      <c r="Q61" s="111">
        <f t="shared" si="126"/>
        <v>24</v>
      </c>
      <c r="R61" s="112">
        <f t="shared" si="126"/>
        <v>47</v>
      </c>
      <c r="S61" s="127">
        <f t="shared" si="39"/>
        <v>1463</v>
      </c>
      <c r="T61" s="163">
        <f t="shared" si="107"/>
        <v>0</v>
      </c>
      <c r="U61" s="157">
        <f t="shared" si="92"/>
        <v>392</v>
      </c>
      <c r="V61" s="157"/>
      <c r="W61" s="157">
        <f t="shared" si="107"/>
        <v>13</v>
      </c>
      <c r="X61" s="164">
        <f t="shared" si="107"/>
        <v>10</v>
      </c>
      <c r="Z61" s="163">
        <f t="shared" si="108"/>
        <v>32077476</v>
      </c>
      <c r="AA61" s="157"/>
      <c r="AB61" s="157"/>
      <c r="AC61" s="163">
        <f t="shared" si="93"/>
        <v>22217196</v>
      </c>
      <c r="AD61" s="164"/>
      <c r="AE61" s="120">
        <f t="shared" si="81"/>
        <v>22217196</v>
      </c>
      <c r="AG61" s="163">
        <f t="shared" si="109"/>
        <v>2114</v>
      </c>
      <c r="AH61" s="157">
        <f t="shared" si="109"/>
        <v>383</v>
      </c>
      <c r="AI61" s="157">
        <f t="shared" si="109"/>
        <v>2816</v>
      </c>
      <c r="AJ61" s="164"/>
      <c r="AL61" s="121">
        <f t="shared" si="115"/>
        <v>28.333333333333332</v>
      </c>
      <c r="AM61" s="122">
        <f t="shared" si="115"/>
        <v>56.5</v>
      </c>
      <c r="AN61" s="120">
        <f t="shared" si="63"/>
        <v>85</v>
      </c>
      <c r="AO61" s="121"/>
      <c r="AP61" s="122"/>
      <c r="AQ61" s="120">
        <f t="shared" si="64"/>
        <v>0</v>
      </c>
      <c r="AR61" s="122">
        <f t="shared" si="110"/>
        <v>156</v>
      </c>
      <c r="AS61" s="122">
        <f t="shared" si="116"/>
        <v>42.916666666666664</v>
      </c>
      <c r="AT61" s="122">
        <f t="shared" si="116"/>
        <v>111.08333333333333</v>
      </c>
      <c r="AU61" s="122">
        <f t="shared" si="116"/>
        <v>21.833333333333332</v>
      </c>
      <c r="AV61" s="123">
        <f t="shared" si="116"/>
        <v>184.5</v>
      </c>
      <c r="AW61"/>
      <c r="AX61" s="356"/>
      <c r="AY61"/>
      <c r="BA61" s="121">
        <f t="shared" si="111"/>
        <v>1724</v>
      </c>
      <c r="BB61" s="122">
        <f t="shared" si="111"/>
        <v>30921401.75</v>
      </c>
      <c r="BC61" s="122"/>
      <c r="BD61" s="122"/>
      <c r="BE61" s="157">
        <f t="shared" si="103"/>
        <v>1021</v>
      </c>
      <c r="BF61" s="157">
        <f t="shared" si="103"/>
        <v>47</v>
      </c>
      <c r="BG61" s="157">
        <f t="shared" si="103"/>
        <v>42</v>
      </c>
      <c r="BH61" s="157"/>
      <c r="BI61" s="122">
        <f t="shared" si="117"/>
        <v>2217815.9166666665</v>
      </c>
      <c r="BJ61" s="122"/>
      <c r="BK61" s="122"/>
      <c r="BL61" s="122">
        <f t="shared" si="118"/>
        <v>74.083333333333329</v>
      </c>
      <c r="BM61" s="168">
        <f t="shared" si="97"/>
        <v>4298</v>
      </c>
      <c r="BO61" s="121">
        <f t="shared" si="112"/>
        <v>0</v>
      </c>
      <c r="BP61" s="123">
        <f t="shared" si="112"/>
        <v>155.25</v>
      </c>
      <c r="BR61" s="246"/>
      <c r="BS61" s="166"/>
      <c r="BT61" s="247"/>
      <c r="BV61" s="110">
        <f t="shared" si="119"/>
        <v>53</v>
      </c>
      <c r="BW61" s="111">
        <f t="shared" si="119"/>
        <v>8</v>
      </c>
      <c r="BX61" s="111">
        <f t="shared" si="119"/>
        <v>18</v>
      </c>
      <c r="BY61" s="111">
        <f t="shared" si="119"/>
        <v>0</v>
      </c>
      <c r="BZ61" s="111">
        <f t="shared" si="119"/>
        <v>0</v>
      </c>
      <c r="CA61" s="111">
        <f t="shared" si="119"/>
        <v>0</v>
      </c>
      <c r="CB61" s="111">
        <f t="shared" si="119"/>
        <v>0</v>
      </c>
      <c r="CD61" s="111">
        <f t="shared" si="119"/>
        <v>125</v>
      </c>
      <c r="CE61" s="111">
        <f t="shared" ref="CE61:DU61" si="128">CE20</f>
        <v>0</v>
      </c>
      <c r="CF61" s="111">
        <f t="shared" si="128"/>
        <v>36</v>
      </c>
      <c r="CG61" s="111">
        <f t="shared" si="128"/>
        <v>8</v>
      </c>
      <c r="CH61" s="111">
        <f t="shared" si="128"/>
        <v>0</v>
      </c>
      <c r="CI61" s="111">
        <f t="shared" si="128"/>
        <v>105</v>
      </c>
      <c r="CJ61" s="111">
        <f t="shared" si="128"/>
        <v>143</v>
      </c>
      <c r="CL61" s="111">
        <f t="shared" ref="CL61" si="129">CL20</f>
        <v>0</v>
      </c>
      <c r="CM61" s="111">
        <f t="shared" si="128"/>
        <v>30</v>
      </c>
      <c r="CN61" s="111">
        <f t="shared" si="128"/>
        <v>0</v>
      </c>
      <c r="CO61" s="111">
        <f t="shared" si="128"/>
        <v>183</v>
      </c>
      <c r="CP61" s="111">
        <f t="shared" ref="CP61" si="130">CP20</f>
        <v>0</v>
      </c>
      <c r="CQ61" s="111">
        <f t="shared" si="128"/>
        <v>0</v>
      </c>
      <c r="CS61" s="111">
        <f t="shared" si="128"/>
        <v>35</v>
      </c>
      <c r="CT61" s="111">
        <f t="shared" si="128"/>
        <v>145</v>
      </c>
      <c r="CU61" s="111">
        <f t="shared" si="128"/>
        <v>0</v>
      </c>
      <c r="CV61" s="111">
        <f t="shared" si="128"/>
        <v>54</v>
      </c>
      <c r="CW61" s="111">
        <f t="shared" si="128"/>
        <v>0</v>
      </c>
      <c r="CX61" s="111">
        <f t="shared" ref="CX61" si="131">CX20</f>
        <v>0</v>
      </c>
      <c r="CY61" s="111">
        <f t="shared" si="128"/>
        <v>35</v>
      </c>
      <c r="CZ61" s="111">
        <f t="shared" si="128"/>
        <v>0</v>
      </c>
      <c r="DA61" s="111">
        <f t="shared" si="128"/>
        <v>0</v>
      </c>
      <c r="DB61" s="111">
        <f t="shared" si="128"/>
        <v>126</v>
      </c>
      <c r="DC61" s="111">
        <f t="shared" si="128"/>
        <v>0</v>
      </c>
      <c r="DD61" s="111">
        <f t="shared" si="128"/>
        <v>0</v>
      </c>
      <c r="DE61" s="111">
        <f t="shared" si="128"/>
        <v>0</v>
      </c>
      <c r="DF61" s="111">
        <f t="shared" si="128"/>
        <v>0</v>
      </c>
      <c r="DG61" s="111">
        <f t="shared" si="128"/>
        <v>70</v>
      </c>
      <c r="DH61" s="111">
        <f t="shared" si="128"/>
        <v>20</v>
      </c>
      <c r="DI61" s="111">
        <f t="shared" si="128"/>
        <v>27</v>
      </c>
      <c r="DJ61" s="111">
        <f t="shared" si="128"/>
        <v>30</v>
      </c>
      <c r="DK61" s="111">
        <f t="shared" ref="DK61" si="132">DK20</f>
        <v>0</v>
      </c>
      <c r="DL61" s="111">
        <f t="shared" si="128"/>
        <v>0</v>
      </c>
      <c r="DM61" s="111">
        <f t="shared" si="128"/>
        <v>22</v>
      </c>
      <c r="DN61" s="111">
        <f t="shared" si="128"/>
        <v>0</v>
      </c>
      <c r="DO61" s="111">
        <f t="shared" si="128"/>
        <v>22</v>
      </c>
      <c r="DP61" s="111">
        <f t="shared" si="128"/>
        <v>0</v>
      </c>
      <c r="DQ61" s="111">
        <f t="shared" si="128"/>
        <v>0</v>
      </c>
      <c r="DS61" s="111">
        <f t="shared" si="128"/>
        <v>36</v>
      </c>
      <c r="DT61" s="111">
        <f t="shared" si="128"/>
        <v>85</v>
      </c>
      <c r="DU61" s="111">
        <f t="shared" si="128"/>
        <v>47</v>
      </c>
      <c r="DV61" s="127">
        <f t="shared" si="113"/>
        <v>1463</v>
      </c>
      <c r="DW61" s="128"/>
    </row>
    <row r="62" spans="1:127" s="111" customFormat="1">
      <c r="A62" s="189">
        <v>2004</v>
      </c>
      <c r="B62" s="189"/>
      <c r="C62" s="110">
        <f t="shared" si="104"/>
        <v>56</v>
      </c>
      <c r="D62" s="111">
        <f t="shared" si="125"/>
        <v>420</v>
      </c>
      <c r="E62" s="111">
        <f t="shared" si="126"/>
        <v>26</v>
      </c>
      <c r="F62" s="111">
        <f t="shared" si="126"/>
        <v>4</v>
      </c>
      <c r="G62" s="111">
        <f t="shared" si="126"/>
        <v>28</v>
      </c>
      <c r="H62" s="111">
        <f t="shared" si="126"/>
        <v>15</v>
      </c>
      <c r="I62" s="111">
        <f t="shared" si="28"/>
        <v>0</v>
      </c>
      <c r="J62" s="111">
        <f t="shared" si="126"/>
        <v>225</v>
      </c>
      <c r="K62" s="111">
        <f t="shared" si="126"/>
        <v>13</v>
      </c>
      <c r="L62" s="111">
        <f t="shared" si="126"/>
        <v>3</v>
      </c>
      <c r="M62" s="111">
        <f t="shared" ref="M62:N62" si="133">M21</f>
        <v>0</v>
      </c>
      <c r="N62" s="111">
        <f t="shared" si="133"/>
        <v>0</v>
      </c>
      <c r="O62" s="111">
        <f t="shared" si="30"/>
        <v>78</v>
      </c>
      <c r="P62" s="111">
        <f t="shared" si="126"/>
        <v>18</v>
      </c>
      <c r="Q62" s="111">
        <f t="shared" si="126"/>
        <v>3</v>
      </c>
      <c r="R62" s="112">
        <f t="shared" si="126"/>
        <v>18</v>
      </c>
      <c r="S62" s="127">
        <f t="shared" si="39"/>
        <v>907</v>
      </c>
      <c r="T62" s="163">
        <f t="shared" si="107"/>
        <v>0</v>
      </c>
      <c r="U62" s="157">
        <f t="shared" si="92"/>
        <v>380</v>
      </c>
      <c r="V62" s="157"/>
      <c r="W62" s="157">
        <f t="shared" si="107"/>
        <v>0</v>
      </c>
      <c r="X62" s="164">
        <f t="shared" si="107"/>
        <v>6</v>
      </c>
      <c r="Z62" s="163">
        <f t="shared" si="108"/>
        <v>44065280</v>
      </c>
      <c r="AA62" s="157"/>
      <c r="AB62" s="157"/>
      <c r="AC62" s="163">
        <f t="shared" si="93"/>
        <v>15991296</v>
      </c>
      <c r="AD62" s="164"/>
      <c r="AE62" s="120">
        <f t="shared" si="81"/>
        <v>15991296</v>
      </c>
      <c r="AG62" s="163">
        <f t="shared" si="109"/>
        <v>1547</v>
      </c>
      <c r="AH62" s="157">
        <f t="shared" si="109"/>
        <v>1125</v>
      </c>
      <c r="AI62" s="157">
        <f t="shared" si="109"/>
        <v>2946</v>
      </c>
      <c r="AJ62" s="164"/>
      <c r="AL62" s="121">
        <f t="shared" si="115"/>
        <v>0</v>
      </c>
      <c r="AM62" s="122">
        <f t="shared" si="115"/>
        <v>64</v>
      </c>
      <c r="AN62" s="120">
        <f t="shared" si="63"/>
        <v>64</v>
      </c>
      <c r="AO62" s="121"/>
      <c r="AP62" s="122"/>
      <c r="AQ62" s="120">
        <f t="shared" si="64"/>
        <v>0</v>
      </c>
      <c r="AR62" s="122">
        <f t="shared" si="110"/>
        <v>155</v>
      </c>
      <c r="AS62" s="122">
        <f t="shared" si="116"/>
        <v>46.045454545454547</v>
      </c>
      <c r="AT62" s="122">
        <f t="shared" si="116"/>
        <v>84.454545454545453</v>
      </c>
      <c r="AU62" s="122">
        <f t="shared" si="116"/>
        <v>20.045454545454547</v>
      </c>
      <c r="AV62" s="123">
        <f t="shared" si="116"/>
        <v>165.90909090909091</v>
      </c>
      <c r="AW62"/>
      <c r="AX62" s="356"/>
      <c r="AY62"/>
      <c r="BA62" s="121">
        <f t="shared" si="111"/>
        <v>1746</v>
      </c>
      <c r="BB62" s="122">
        <f t="shared" si="111"/>
        <v>30211212.75</v>
      </c>
      <c r="BC62" s="122"/>
      <c r="BD62" s="122"/>
      <c r="BE62" s="157">
        <f t="shared" si="103"/>
        <v>613</v>
      </c>
      <c r="BF62" s="157">
        <f t="shared" si="103"/>
        <v>53</v>
      </c>
      <c r="BG62" s="157">
        <f t="shared" si="103"/>
        <v>21</v>
      </c>
      <c r="BH62" s="157"/>
      <c r="BI62" s="122">
        <f t="shared" si="117"/>
        <v>1484749.75</v>
      </c>
      <c r="BJ62" s="122"/>
      <c r="BK62" s="122"/>
      <c r="BL62" s="122">
        <f t="shared" si="118"/>
        <v>85.5</v>
      </c>
      <c r="BM62" s="168">
        <f t="shared" si="97"/>
        <v>0</v>
      </c>
      <c r="BO62" s="121">
        <f t="shared" si="112"/>
        <v>0</v>
      </c>
      <c r="BP62" s="123">
        <f t="shared" si="112"/>
        <v>155</v>
      </c>
      <c r="BR62" s="246"/>
      <c r="BS62" s="166"/>
      <c r="BT62" s="247"/>
      <c r="BV62" s="110">
        <f t="shared" si="119"/>
        <v>16</v>
      </c>
      <c r="BW62" s="111">
        <f t="shared" si="119"/>
        <v>18</v>
      </c>
      <c r="BX62" s="111">
        <f t="shared" si="119"/>
        <v>30</v>
      </c>
      <c r="BY62" s="111">
        <f t="shared" si="119"/>
        <v>0</v>
      </c>
      <c r="BZ62" s="111">
        <f t="shared" si="119"/>
        <v>0</v>
      </c>
      <c r="CA62" s="111">
        <f t="shared" si="119"/>
        <v>0</v>
      </c>
      <c r="CB62" s="111">
        <f t="shared" si="119"/>
        <v>0</v>
      </c>
      <c r="CD62" s="111">
        <f t="shared" si="119"/>
        <v>84</v>
      </c>
      <c r="CE62" s="111">
        <f t="shared" ref="CE62:DU62" si="134">CE21</f>
        <v>0</v>
      </c>
      <c r="CF62" s="111">
        <f t="shared" si="134"/>
        <v>3</v>
      </c>
      <c r="CG62" s="111">
        <f t="shared" si="134"/>
        <v>3</v>
      </c>
      <c r="CH62" s="111">
        <f t="shared" si="134"/>
        <v>0</v>
      </c>
      <c r="CI62" s="111">
        <f t="shared" si="134"/>
        <v>56</v>
      </c>
      <c r="CJ62" s="111">
        <f t="shared" si="134"/>
        <v>124</v>
      </c>
      <c r="CL62" s="111">
        <f t="shared" ref="CL62" si="135">CL21</f>
        <v>0</v>
      </c>
      <c r="CM62" s="111">
        <f t="shared" si="134"/>
        <v>5</v>
      </c>
      <c r="CN62" s="111">
        <f t="shared" si="134"/>
        <v>0</v>
      </c>
      <c r="CO62" s="111">
        <f t="shared" si="134"/>
        <v>71</v>
      </c>
      <c r="CP62" s="111">
        <f t="shared" ref="CP62" si="136">CP21</f>
        <v>0</v>
      </c>
      <c r="CQ62" s="111">
        <f t="shared" si="134"/>
        <v>0</v>
      </c>
      <c r="CS62" s="111">
        <f t="shared" si="134"/>
        <v>14</v>
      </c>
      <c r="CT62" s="111">
        <f t="shared" si="134"/>
        <v>61</v>
      </c>
      <c r="CU62" s="111">
        <f t="shared" si="134"/>
        <v>0</v>
      </c>
      <c r="CV62" s="111">
        <f t="shared" si="134"/>
        <v>58</v>
      </c>
      <c r="CW62" s="111">
        <f t="shared" si="134"/>
        <v>0</v>
      </c>
      <c r="CX62" s="111">
        <f t="shared" ref="CX62" si="137">CX21</f>
        <v>0</v>
      </c>
      <c r="CY62" s="111">
        <f t="shared" si="134"/>
        <v>16</v>
      </c>
      <c r="CZ62" s="111">
        <f t="shared" si="134"/>
        <v>0</v>
      </c>
      <c r="DA62" s="111">
        <f t="shared" si="134"/>
        <v>0</v>
      </c>
      <c r="DB62" s="111">
        <f t="shared" si="134"/>
        <v>105</v>
      </c>
      <c r="DC62" s="111">
        <f t="shared" si="134"/>
        <v>0</v>
      </c>
      <c r="DD62" s="111">
        <f t="shared" si="134"/>
        <v>0</v>
      </c>
      <c r="DE62" s="111">
        <f t="shared" si="134"/>
        <v>0</v>
      </c>
      <c r="DF62" s="111">
        <f t="shared" si="134"/>
        <v>0</v>
      </c>
      <c r="DG62" s="111">
        <f t="shared" si="134"/>
        <v>26</v>
      </c>
      <c r="DH62" s="111">
        <f t="shared" si="134"/>
        <v>21</v>
      </c>
      <c r="DI62" s="111">
        <f t="shared" si="134"/>
        <v>8</v>
      </c>
      <c r="DJ62" s="111">
        <f t="shared" si="134"/>
        <v>3</v>
      </c>
      <c r="DK62" s="111">
        <f t="shared" ref="DK62" si="138">DK21</f>
        <v>0</v>
      </c>
      <c r="DL62" s="111">
        <f t="shared" si="134"/>
        <v>0</v>
      </c>
      <c r="DM62" s="111">
        <f t="shared" si="134"/>
        <v>71</v>
      </c>
      <c r="DN62" s="111">
        <f t="shared" si="134"/>
        <v>0</v>
      </c>
      <c r="DO62" s="111">
        <f t="shared" si="134"/>
        <v>15</v>
      </c>
      <c r="DP62" s="111">
        <f t="shared" si="134"/>
        <v>0</v>
      </c>
      <c r="DQ62" s="111">
        <f t="shared" si="134"/>
        <v>0</v>
      </c>
      <c r="DS62" s="111">
        <f t="shared" si="134"/>
        <v>34</v>
      </c>
      <c r="DT62" s="111">
        <f t="shared" si="134"/>
        <v>47</v>
      </c>
      <c r="DU62" s="111">
        <f t="shared" si="134"/>
        <v>18</v>
      </c>
      <c r="DV62" s="127">
        <f t="shared" si="113"/>
        <v>907</v>
      </c>
      <c r="DW62" s="128"/>
    </row>
    <row r="63" spans="1:127" s="111" customFormat="1">
      <c r="A63" s="189">
        <v>2005</v>
      </c>
      <c r="B63" s="189"/>
      <c r="C63" s="110">
        <f t="shared" si="104"/>
        <v>72</v>
      </c>
      <c r="D63" s="111">
        <f t="shared" si="125"/>
        <v>363</v>
      </c>
      <c r="E63" s="111">
        <f t="shared" si="126"/>
        <v>25</v>
      </c>
      <c r="F63" s="111">
        <f t="shared" si="126"/>
        <v>9</v>
      </c>
      <c r="G63" s="111">
        <f t="shared" si="126"/>
        <v>36</v>
      </c>
      <c r="H63" s="111">
        <f t="shared" si="126"/>
        <v>8</v>
      </c>
      <c r="I63" s="111">
        <f t="shared" si="28"/>
        <v>0</v>
      </c>
      <c r="J63" s="111">
        <f t="shared" si="126"/>
        <v>174</v>
      </c>
      <c r="K63" s="111">
        <f t="shared" si="126"/>
        <v>6</v>
      </c>
      <c r="L63" s="111">
        <f t="shared" si="126"/>
        <v>0</v>
      </c>
      <c r="M63" s="111">
        <f t="shared" ref="M63:N63" si="139">M22</f>
        <v>0</v>
      </c>
      <c r="N63" s="111">
        <f t="shared" si="139"/>
        <v>0</v>
      </c>
      <c r="O63" s="111">
        <f t="shared" si="30"/>
        <v>94</v>
      </c>
      <c r="P63" s="111">
        <f t="shared" si="126"/>
        <v>9</v>
      </c>
      <c r="Q63" s="111">
        <f t="shared" si="126"/>
        <v>0</v>
      </c>
      <c r="R63" s="112">
        <f t="shared" si="126"/>
        <v>0</v>
      </c>
      <c r="S63" s="127">
        <f t="shared" si="39"/>
        <v>796</v>
      </c>
      <c r="T63" s="163">
        <f t="shared" si="107"/>
        <v>0</v>
      </c>
      <c r="U63" s="157">
        <f t="shared" si="92"/>
        <v>364</v>
      </c>
      <c r="V63" s="157"/>
      <c r="W63" s="157">
        <f t="shared" si="107"/>
        <v>0</v>
      </c>
      <c r="X63" s="164">
        <f t="shared" si="107"/>
        <v>2</v>
      </c>
      <c r="Z63" s="163">
        <f t="shared" si="108"/>
        <v>40582517</v>
      </c>
      <c r="AA63" s="157"/>
      <c r="AB63" s="157"/>
      <c r="AC63" s="163">
        <f t="shared" si="93"/>
        <v>15205232</v>
      </c>
      <c r="AD63" s="164"/>
      <c r="AE63" s="120">
        <f t="shared" si="81"/>
        <v>15205232</v>
      </c>
      <c r="AG63" s="163">
        <f t="shared" si="109"/>
        <v>1428</v>
      </c>
      <c r="AH63" s="157">
        <f t="shared" si="109"/>
        <v>1066</v>
      </c>
      <c r="AI63" s="157">
        <f t="shared" si="109"/>
        <v>2784</v>
      </c>
      <c r="AJ63" s="164"/>
      <c r="AL63" s="121">
        <f t="shared" si="115"/>
        <v>0</v>
      </c>
      <c r="AM63" s="122">
        <f t="shared" si="115"/>
        <v>60</v>
      </c>
      <c r="AN63" s="120">
        <f t="shared" si="63"/>
        <v>60</v>
      </c>
      <c r="AO63" s="121"/>
      <c r="AP63" s="122"/>
      <c r="AQ63" s="120">
        <f t="shared" si="64"/>
        <v>0</v>
      </c>
      <c r="AR63" s="122">
        <f t="shared" si="110"/>
        <v>158</v>
      </c>
      <c r="AS63" s="122">
        <f t="shared" si="116"/>
        <v>49</v>
      </c>
      <c r="AT63" s="122">
        <f t="shared" si="116"/>
        <v>77</v>
      </c>
      <c r="AU63" s="122">
        <f t="shared" si="116"/>
        <v>19.166666666666668</v>
      </c>
      <c r="AV63" s="123">
        <f t="shared" si="116"/>
        <v>167.66666666666666</v>
      </c>
      <c r="AW63"/>
      <c r="AX63" s="356"/>
      <c r="AY63"/>
      <c r="BA63" s="121">
        <f t="shared" si="111"/>
        <v>1779</v>
      </c>
      <c r="BB63" s="122">
        <f t="shared" si="111"/>
        <v>31349078.833333332</v>
      </c>
      <c r="BC63" s="122"/>
      <c r="BD63" s="122"/>
      <c r="BE63" s="157">
        <f t="shared" si="103"/>
        <v>567</v>
      </c>
      <c r="BF63" s="157">
        <f t="shared" si="103"/>
        <v>66</v>
      </c>
      <c r="BG63" s="157">
        <f t="shared" si="103"/>
        <v>23</v>
      </c>
      <c r="BH63" s="157"/>
      <c r="BI63" s="122">
        <f t="shared" si="117"/>
        <v>1636108.5833333333</v>
      </c>
      <c r="BJ63" s="122"/>
      <c r="BK63" s="122"/>
      <c r="BL63" s="122">
        <f t="shared" si="118"/>
        <v>35.666666666666664</v>
      </c>
      <c r="BM63" s="168">
        <f t="shared" si="97"/>
        <v>0</v>
      </c>
      <c r="BO63" s="121">
        <f t="shared" si="112"/>
        <v>0</v>
      </c>
      <c r="BP63" s="123">
        <f t="shared" si="112"/>
        <v>154.5</v>
      </c>
      <c r="BR63" s="246"/>
      <c r="BS63" s="166"/>
      <c r="BT63" s="247"/>
      <c r="BV63" s="110">
        <f t="shared" si="119"/>
        <v>33</v>
      </c>
      <c r="BW63" s="111">
        <f t="shared" si="119"/>
        <v>28</v>
      </c>
      <c r="BX63" s="111">
        <f t="shared" si="119"/>
        <v>9</v>
      </c>
      <c r="BY63" s="111">
        <f t="shared" si="119"/>
        <v>0</v>
      </c>
      <c r="BZ63" s="111">
        <f t="shared" si="119"/>
        <v>0</v>
      </c>
      <c r="CA63" s="111">
        <f t="shared" si="119"/>
        <v>0</v>
      </c>
      <c r="CB63" s="111">
        <f t="shared" si="119"/>
        <v>0</v>
      </c>
      <c r="CD63" s="111">
        <f t="shared" si="119"/>
        <v>75</v>
      </c>
      <c r="CE63" s="111">
        <f t="shared" ref="CE63:DU63" si="140">CE22</f>
        <v>0</v>
      </c>
      <c r="CF63" s="111">
        <f t="shared" si="140"/>
        <v>5</v>
      </c>
      <c r="CG63" s="111">
        <f t="shared" si="140"/>
        <v>1</v>
      </c>
      <c r="CH63" s="111">
        <f t="shared" si="140"/>
        <v>0</v>
      </c>
      <c r="CI63" s="111">
        <f t="shared" si="140"/>
        <v>45</v>
      </c>
      <c r="CJ63" s="111">
        <f t="shared" si="140"/>
        <v>93</v>
      </c>
      <c r="CL63" s="111">
        <f t="shared" ref="CL63" si="141">CL22</f>
        <v>0</v>
      </c>
      <c r="CM63" s="111">
        <f t="shared" si="140"/>
        <v>0</v>
      </c>
      <c r="CN63" s="111">
        <f t="shared" si="140"/>
        <v>0</v>
      </c>
      <c r="CO63" s="111">
        <f t="shared" si="140"/>
        <v>105</v>
      </c>
      <c r="CP63" s="111">
        <f t="shared" ref="CP63" si="142">CP22</f>
        <v>0</v>
      </c>
      <c r="CQ63" s="111">
        <f t="shared" si="140"/>
        <v>0</v>
      </c>
      <c r="CS63" s="111">
        <f t="shared" si="140"/>
        <v>10</v>
      </c>
      <c r="CT63" s="111">
        <f t="shared" si="140"/>
        <v>70</v>
      </c>
      <c r="CU63" s="111">
        <f t="shared" si="140"/>
        <v>0</v>
      </c>
      <c r="CV63" s="111">
        <f t="shared" si="140"/>
        <v>52</v>
      </c>
      <c r="CW63" s="111">
        <f t="shared" si="140"/>
        <v>0</v>
      </c>
      <c r="CX63" s="111">
        <f t="shared" ref="CX63" si="143">CX22</f>
        <v>0</v>
      </c>
      <c r="CY63" s="111">
        <f t="shared" si="140"/>
        <v>17</v>
      </c>
      <c r="CZ63" s="111">
        <f t="shared" si="140"/>
        <v>0</v>
      </c>
      <c r="DA63" s="111">
        <f t="shared" si="140"/>
        <v>0</v>
      </c>
      <c r="DB63" s="111">
        <f t="shared" si="140"/>
        <v>54</v>
      </c>
      <c r="DC63" s="111">
        <f t="shared" si="140"/>
        <v>0</v>
      </c>
      <c r="DD63" s="111">
        <f t="shared" si="140"/>
        <v>0</v>
      </c>
      <c r="DE63" s="111">
        <f t="shared" si="140"/>
        <v>0</v>
      </c>
      <c r="DF63" s="111">
        <f t="shared" si="140"/>
        <v>0</v>
      </c>
      <c r="DG63" s="111">
        <f t="shared" si="140"/>
        <v>36</v>
      </c>
      <c r="DH63" s="111">
        <f t="shared" si="140"/>
        <v>16</v>
      </c>
      <c r="DI63" s="111">
        <f t="shared" si="140"/>
        <v>7</v>
      </c>
      <c r="DJ63" s="111">
        <f t="shared" si="140"/>
        <v>15</v>
      </c>
      <c r="DK63" s="111">
        <f t="shared" ref="DK63" si="144">DK22</f>
        <v>0</v>
      </c>
      <c r="DL63" s="111">
        <f t="shared" si="140"/>
        <v>0</v>
      </c>
      <c r="DM63" s="111">
        <f t="shared" si="140"/>
        <v>35</v>
      </c>
      <c r="DN63" s="111">
        <f t="shared" si="140"/>
        <v>0</v>
      </c>
      <c r="DO63" s="111">
        <f t="shared" si="140"/>
        <v>10</v>
      </c>
      <c r="DP63" s="111">
        <f t="shared" si="140"/>
        <v>0</v>
      </c>
      <c r="DQ63" s="111">
        <f t="shared" si="140"/>
        <v>0</v>
      </c>
      <c r="DS63" s="111">
        <f t="shared" si="140"/>
        <v>40</v>
      </c>
      <c r="DT63" s="111">
        <f t="shared" si="140"/>
        <v>40</v>
      </c>
      <c r="DU63" s="111">
        <f t="shared" si="140"/>
        <v>0</v>
      </c>
      <c r="DV63" s="127">
        <f t="shared" si="113"/>
        <v>796</v>
      </c>
      <c r="DW63" s="128"/>
    </row>
    <row r="64" spans="1:127" s="111" customFormat="1">
      <c r="A64" s="189">
        <v>2006</v>
      </c>
      <c r="B64" s="189"/>
      <c r="C64" s="110">
        <f t="shared" si="104"/>
        <v>44</v>
      </c>
      <c r="D64" s="111">
        <f t="shared" si="125"/>
        <v>305</v>
      </c>
      <c r="E64" s="111">
        <f t="shared" ref="E64:R64" si="145">E23</f>
        <v>16</v>
      </c>
      <c r="F64" s="111">
        <f t="shared" si="145"/>
        <v>13</v>
      </c>
      <c r="G64" s="111">
        <f t="shared" si="145"/>
        <v>47</v>
      </c>
      <c r="H64" s="111">
        <f t="shared" si="145"/>
        <v>10</v>
      </c>
      <c r="I64" s="111">
        <f t="shared" si="28"/>
        <v>0</v>
      </c>
      <c r="J64" s="111">
        <f t="shared" si="145"/>
        <v>230</v>
      </c>
      <c r="K64" s="111">
        <f t="shared" si="145"/>
        <v>5</v>
      </c>
      <c r="L64" s="111">
        <f t="shared" si="145"/>
        <v>1</v>
      </c>
      <c r="M64" s="111">
        <f t="shared" ref="M64:N64" si="146">M23</f>
        <v>0</v>
      </c>
      <c r="N64" s="111">
        <f t="shared" si="146"/>
        <v>0</v>
      </c>
      <c r="O64" s="111">
        <f t="shared" si="30"/>
        <v>159</v>
      </c>
      <c r="P64" s="111">
        <f t="shared" si="145"/>
        <v>9</v>
      </c>
      <c r="Q64" s="111">
        <f t="shared" si="145"/>
        <v>2</v>
      </c>
      <c r="R64" s="112">
        <f t="shared" si="145"/>
        <v>6</v>
      </c>
      <c r="S64" s="127">
        <f t="shared" si="39"/>
        <v>847</v>
      </c>
      <c r="T64" s="163">
        <f t="shared" ref="T64:T70" si="147">T23</f>
        <v>0</v>
      </c>
      <c r="U64" s="157">
        <f t="shared" si="92"/>
        <v>346</v>
      </c>
      <c r="V64" s="157"/>
      <c r="W64" s="157">
        <f t="shared" ref="W64:X70" si="148">W23</f>
        <v>0</v>
      </c>
      <c r="X64" s="164">
        <f t="shared" si="148"/>
        <v>3</v>
      </c>
      <c r="Z64" s="163">
        <f t="shared" si="108"/>
        <v>45028722</v>
      </c>
      <c r="AA64" s="157"/>
      <c r="AB64" s="157"/>
      <c r="AC64" s="163">
        <f t="shared" si="93"/>
        <v>15361762</v>
      </c>
      <c r="AD64" s="164"/>
      <c r="AE64" s="120">
        <f>SUM(AC64:AD64)</f>
        <v>15361762</v>
      </c>
      <c r="AG64" s="163">
        <f t="shared" si="109"/>
        <v>1403</v>
      </c>
      <c r="AH64" s="157">
        <f t="shared" si="109"/>
        <v>1226</v>
      </c>
      <c r="AI64" s="157">
        <f t="shared" si="109"/>
        <v>2936</v>
      </c>
      <c r="AJ64" s="164"/>
      <c r="AL64" s="121">
        <f t="shared" si="115"/>
        <v>0</v>
      </c>
      <c r="AM64" s="122">
        <f t="shared" si="115"/>
        <v>56</v>
      </c>
      <c r="AN64" s="120">
        <f t="shared" si="63"/>
        <v>56</v>
      </c>
      <c r="AO64" s="121"/>
      <c r="AP64" s="122"/>
      <c r="AQ64" s="120">
        <f t="shared" si="64"/>
        <v>0</v>
      </c>
      <c r="AR64" s="122">
        <f t="shared" si="110"/>
        <v>149.65217391304347</v>
      </c>
      <c r="AS64" s="122">
        <f t="shared" si="116"/>
        <v>53.6</v>
      </c>
      <c r="AT64" s="122">
        <f t="shared" si="116"/>
        <v>88.2</v>
      </c>
      <c r="AU64" s="122">
        <f t="shared" si="116"/>
        <v>21.25</v>
      </c>
      <c r="AV64" s="123">
        <f t="shared" si="116"/>
        <v>192.5</v>
      </c>
      <c r="AW64"/>
      <c r="AX64" s="356"/>
      <c r="AY64"/>
      <c r="BA64" s="121">
        <f t="shared" si="111"/>
        <v>1814</v>
      </c>
      <c r="BB64" s="122">
        <f t="shared" si="111"/>
        <v>38619654.75</v>
      </c>
      <c r="BC64" s="122"/>
      <c r="BD64" s="122"/>
      <c r="BE64" s="157">
        <f t="shared" si="103"/>
        <v>685</v>
      </c>
      <c r="BF64" s="157">
        <f t="shared" si="103"/>
        <v>43</v>
      </c>
      <c r="BG64" s="157">
        <f t="shared" si="103"/>
        <v>20</v>
      </c>
      <c r="BH64" s="157"/>
      <c r="BI64" s="122">
        <f t="shared" si="117"/>
        <v>2319289.5</v>
      </c>
      <c r="BJ64" s="122"/>
      <c r="BK64" s="122"/>
      <c r="BL64" s="122">
        <f t="shared" si="118"/>
        <v>15.75</v>
      </c>
      <c r="BM64" s="168">
        <f t="shared" si="97"/>
        <v>0</v>
      </c>
      <c r="BO64" s="121">
        <f t="shared" si="112"/>
        <v>0</v>
      </c>
      <c r="BP64" s="123">
        <f t="shared" si="112"/>
        <v>157.33333333333334</v>
      </c>
      <c r="BR64" s="246"/>
      <c r="BS64" s="166"/>
      <c r="BT64" s="247"/>
      <c r="BV64" s="110">
        <f t="shared" si="119"/>
        <v>35</v>
      </c>
      <c r="BW64" s="111">
        <f t="shared" si="119"/>
        <v>49</v>
      </c>
      <c r="BX64" s="111">
        <f t="shared" si="119"/>
        <v>7</v>
      </c>
      <c r="BY64" s="111">
        <f t="shared" si="119"/>
        <v>0</v>
      </c>
      <c r="BZ64" s="111">
        <f t="shared" si="119"/>
        <v>0</v>
      </c>
      <c r="CA64" s="111">
        <f t="shared" si="119"/>
        <v>0</v>
      </c>
      <c r="CB64" s="111">
        <f t="shared" si="119"/>
        <v>0</v>
      </c>
      <c r="CD64" s="111">
        <f t="shared" si="119"/>
        <v>84</v>
      </c>
      <c r="CE64" s="111">
        <f t="shared" ref="CE64:DU64" si="149">CE23</f>
        <v>9</v>
      </c>
      <c r="CF64" s="111">
        <f t="shared" si="149"/>
        <v>29</v>
      </c>
      <c r="CG64" s="111">
        <f t="shared" si="149"/>
        <v>14</v>
      </c>
      <c r="CH64" s="111">
        <f t="shared" si="149"/>
        <v>0</v>
      </c>
      <c r="CI64" s="111">
        <f t="shared" si="149"/>
        <v>36</v>
      </c>
      <c r="CJ64" s="111">
        <f t="shared" si="149"/>
        <v>83</v>
      </c>
      <c r="CL64" s="111">
        <f t="shared" ref="CL64" si="150">CL23</f>
        <v>0</v>
      </c>
      <c r="CM64" s="111">
        <f t="shared" si="149"/>
        <v>0</v>
      </c>
      <c r="CN64" s="111">
        <f t="shared" si="149"/>
        <v>0</v>
      </c>
      <c r="CO64" s="111">
        <f t="shared" si="149"/>
        <v>65</v>
      </c>
      <c r="CP64" s="111">
        <f t="shared" ref="CP64" si="151">CP23</f>
        <v>0</v>
      </c>
      <c r="CQ64" s="111">
        <f t="shared" si="149"/>
        <v>0</v>
      </c>
      <c r="CS64" s="111">
        <f t="shared" si="149"/>
        <v>17</v>
      </c>
      <c r="CT64" s="111">
        <f t="shared" si="149"/>
        <v>45</v>
      </c>
      <c r="CU64" s="111">
        <f t="shared" si="149"/>
        <v>0</v>
      </c>
      <c r="CV64" s="111">
        <f t="shared" si="149"/>
        <v>56</v>
      </c>
      <c r="CW64" s="111">
        <f t="shared" si="149"/>
        <v>0</v>
      </c>
      <c r="CX64" s="111">
        <f t="shared" ref="CX64" si="152">CX23</f>
        <v>0</v>
      </c>
      <c r="CY64" s="111">
        <f t="shared" si="149"/>
        <v>24</v>
      </c>
      <c r="CZ64" s="111">
        <f t="shared" si="149"/>
        <v>0</v>
      </c>
      <c r="DA64" s="111">
        <f t="shared" si="149"/>
        <v>0</v>
      </c>
      <c r="DB64" s="111">
        <f t="shared" si="149"/>
        <v>107</v>
      </c>
      <c r="DC64" s="111">
        <f t="shared" si="149"/>
        <v>0</v>
      </c>
      <c r="DD64" s="111">
        <f t="shared" si="149"/>
        <v>0</v>
      </c>
      <c r="DE64" s="111">
        <f t="shared" si="149"/>
        <v>0</v>
      </c>
      <c r="DF64" s="111">
        <f t="shared" si="149"/>
        <v>0</v>
      </c>
      <c r="DG64" s="111">
        <f t="shared" si="149"/>
        <v>31</v>
      </c>
      <c r="DH64" s="111">
        <f t="shared" si="149"/>
        <v>10</v>
      </c>
      <c r="DI64" s="111">
        <f t="shared" si="149"/>
        <v>4</v>
      </c>
      <c r="DJ64" s="111">
        <f t="shared" si="149"/>
        <v>6</v>
      </c>
      <c r="DK64" s="111">
        <f t="shared" ref="DK64" si="153">DK23</f>
        <v>0</v>
      </c>
      <c r="DL64" s="111">
        <f t="shared" si="149"/>
        <v>0</v>
      </c>
      <c r="DM64" s="111">
        <f t="shared" si="149"/>
        <v>15</v>
      </c>
      <c r="DN64" s="111">
        <f t="shared" si="149"/>
        <v>2</v>
      </c>
      <c r="DO64" s="111">
        <f t="shared" si="149"/>
        <v>29</v>
      </c>
      <c r="DP64" s="111">
        <f t="shared" si="149"/>
        <v>0</v>
      </c>
      <c r="DQ64" s="111">
        <f t="shared" si="149"/>
        <v>0</v>
      </c>
      <c r="DS64" s="111">
        <f t="shared" si="149"/>
        <v>64</v>
      </c>
      <c r="DT64" s="111">
        <f t="shared" si="149"/>
        <v>20</v>
      </c>
      <c r="DU64" s="111">
        <f t="shared" si="149"/>
        <v>6</v>
      </c>
      <c r="DV64" s="127">
        <f t="shared" si="113"/>
        <v>847</v>
      </c>
      <c r="DW64" s="128"/>
    </row>
    <row r="65" spans="1:127" s="111" customFormat="1">
      <c r="A65" s="189">
        <v>2007</v>
      </c>
      <c r="B65" s="189"/>
      <c r="C65" s="110">
        <f t="shared" si="104"/>
        <v>57</v>
      </c>
      <c r="D65" s="111">
        <f t="shared" si="125"/>
        <v>441</v>
      </c>
      <c r="E65" s="111">
        <f t="shared" ref="E65:R65" si="154">E24</f>
        <v>18</v>
      </c>
      <c r="F65" s="111">
        <f t="shared" si="154"/>
        <v>15</v>
      </c>
      <c r="G65" s="111">
        <f t="shared" si="154"/>
        <v>33</v>
      </c>
      <c r="H65" s="111">
        <f t="shared" si="154"/>
        <v>4</v>
      </c>
      <c r="I65" s="111">
        <f t="shared" si="28"/>
        <v>0</v>
      </c>
      <c r="J65" s="111">
        <f t="shared" si="154"/>
        <v>492</v>
      </c>
      <c r="K65" s="111">
        <f t="shared" si="154"/>
        <v>39</v>
      </c>
      <c r="L65" s="111">
        <f t="shared" si="154"/>
        <v>4</v>
      </c>
      <c r="M65" s="111">
        <f t="shared" ref="M65:N65" si="155">M24</f>
        <v>0</v>
      </c>
      <c r="N65" s="111">
        <f t="shared" si="155"/>
        <v>0</v>
      </c>
      <c r="O65" s="111">
        <f t="shared" si="30"/>
        <v>136</v>
      </c>
      <c r="P65" s="111">
        <f t="shared" si="154"/>
        <v>36</v>
      </c>
      <c r="Q65" s="111">
        <f t="shared" si="154"/>
        <v>4</v>
      </c>
      <c r="R65" s="112">
        <f t="shared" si="154"/>
        <v>2</v>
      </c>
      <c r="S65" s="127">
        <f t="shared" si="39"/>
        <v>1281</v>
      </c>
      <c r="T65" s="163">
        <f t="shared" si="147"/>
        <v>0</v>
      </c>
      <c r="U65" s="157">
        <f t="shared" si="92"/>
        <v>382</v>
      </c>
      <c r="V65" s="157"/>
      <c r="W65" s="157">
        <f t="shared" si="148"/>
        <v>0</v>
      </c>
      <c r="X65" s="164">
        <f t="shared" si="148"/>
        <v>3</v>
      </c>
      <c r="Z65" s="163">
        <f t="shared" ref="Z65:AC70" si="156">Z24</f>
        <v>57316864</v>
      </c>
      <c r="AA65" s="157"/>
      <c r="AB65" s="157"/>
      <c r="AC65" s="163">
        <f t="shared" si="156"/>
        <v>12353243</v>
      </c>
      <c r="AD65" s="164"/>
      <c r="AE65" s="120">
        <f>SUM(AC65:AD65)</f>
        <v>12353243</v>
      </c>
      <c r="AG65" s="163">
        <f t="shared" ref="AG65:AI70" si="157">AG24</f>
        <v>1841</v>
      </c>
      <c r="AH65" s="157">
        <f t="shared" si="157"/>
        <v>1512</v>
      </c>
      <c r="AI65" s="157">
        <f t="shared" si="157"/>
        <v>3650</v>
      </c>
      <c r="AJ65" s="164"/>
      <c r="AL65" s="121">
        <f t="shared" si="115"/>
        <v>0</v>
      </c>
      <c r="AM65" s="122">
        <f t="shared" si="115"/>
        <v>49.75</v>
      </c>
      <c r="AN65" s="120">
        <f>ROUND(SUM(AL65:AM65),0)</f>
        <v>50</v>
      </c>
      <c r="AO65" s="121"/>
      <c r="AP65" s="122"/>
      <c r="AQ65" s="120">
        <f>ROUND(SUM(AO65:AP65),0)</f>
        <v>0</v>
      </c>
      <c r="AR65" s="122">
        <f t="shared" si="110"/>
        <v>137.2608695652174</v>
      </c>
      <c r="AS65" s="122">
        <f t="shared" si="116"/>
        <v>55.3</v>
      </c>
      <c r="AT65" s="122">
        <f t="shared" si="116"/>
        <v>105.5</v>
      </c>
      <c r="AU65" s="122">
        <f t="shared" si="116"/>
        <v>17.600000000000001</v>
      </c>
      <c r="AV65" s="123">
        <f t="shared" si="116"/>
        <v>209.95</v>
      </c>
      <c r="AW65"/>
      <c r="AX65" s="356"/>
      <c r="AY65"/>
      <c r="BA65" s="121">
        <f t="shared" si="111"/>
        <v>1849</v>
      </c>
      <c r="BB65" s="122">
        <f t="shared" si="111"/>
        <v>45643387.833333336</v>
      </c>
      <c r="BC65" s="122"/>
      <c r="BD65" s="122"/>
      <c r="BE65" s="111">
        <f>(BE24/FILESTAT!$C$592)*24</f>
        <v>976</v>
      </c>
      <c r="BF65" s="111">
        <f>(BF24/FILESTAT!$C$592)*24</f>
        <v>56</v>
      </c>
      <c r="BG65" s="111">
        <f>(BG24/FILESTAT!$C$592)*24</f>
        <v>13</v>
      </c>
      <c r="BI65" s="122">
        <f t="shared" si="117"/>
        <v>3399068.4166666665</v>
      </c>
      <c r="BJ65" s="122"/>
      <c r="BK65" s="122"/>
      <c r="BL65" s="122">
        <f t="shared" si="118"/>
        <v>1.9166666666666667</v>
      </c>
      <c r="BM65" s="168">
        <f t="shared" si="97"/>
        <v>0</v>
      </c>
      <c r="BO65" s="121">
        <f t="shared" si="112"/>
        <v>0</v>
      </c>
      <c r="BP65" s="123">
        <f t="shared" si="112"/>
        <v>161.08333333333334</v>
      </c>
      <c r="BR65" s="246"/>
      <c r="BS65" s="166"/>
      <c r="BT65" s="247"/>
      <c r="BV65" s="110">
        <f t="shared" si="119"/>
        <v>33</v>
      </c>
      <c r="BW65" s="111">
        <f t="shared" si="119"/>
        <v>36</v>
      </c>
      <c r="BX65" s="111">
        <f t="shared" si="119"/>
        <v>32</v>
      </c>
      <c r="BY65" s="111">
        <f t="shared" si="119"/>
        <v>2</v>
      </c>
      <c r="BZ65" s="111">
        <f t="shared" si="119"/>
        <v>0</v>
      </c>
      <c r="CA65" s="111">
        <f t="shared" si="119"/>
        <v>7</v>
      </c>
      <c r="CB65" s="111">
        <f t="shared" si="119"/>
        <v>1</v>
      </c>
      <c r="CD65" s="111">
        <f t="shared" si="119"/>
        <v>146</v>
      </c>
      <c r="CE65" s="111">
        <f t="shared" ref="CE65:DU65" si="158">CE24</f>
        <v>23</v>
      </c>
      <c r="CF65" s="111">
        <f t="shared" si="158"/>
        <v>0</v>
      </c>
      <c r="CG65" s="111">
        <f t="shared" si="158"/>
        <v>20</v>
      </c>
      <c r="CH65" s="111">
        <f t="shared" si="158"/>
        <v>5</v>
      </c>
      <c r="CI65" s="111">
        <f t="shared" si="158"/>
        <v>50</v>
      </c>
      <c r="CJ65" s="111">
        <f t="shared" si="158"/>
        <v>230</v>
      </c>
      <c r="CL65" s="111">
        <f t="shared" ref="CL65" si="159">CL24</f>
        <v>5</v>
      </c>
      <c r="CM65" s="111">
        <f t="shared" si="158"/>
        <v>8</v>
      </c>
      <c r="CN65" s="111">
        <f t="shared" si="158"/>
        <v>8</v>
      </c>
      <c r="CO65" s="111">
        <f t="shared" si="158"/>
        <v>98</v>
      </c>
      <c r="CP65" s="111">
        <f t="shared" ref="CP65" si="160">CP24</f>
        <v>0</v>
      </c>
      <c r="CQ65" s="111">
        <f t="shared" si="158"/>
        <v>0</v>
      </c>
      <c r="CS65" s="111">
        <f t="shared" si="158"/>
        <v>17</v>
      </c>
      <c r="CT65" s="111">
        <f t="shared" si="158"/>
        <v>58</v>
      </c>
      <c r="CU65" s="111">
        <f t="shared" si="158"/>
        <v>0</v>
      </c>
      <c r="CV65" s="111">
        <f t="shared" si="158"/>
        <v>79</v>
      </c>
      <c r="CW65" s="111">
        <f t="shared" si="158"/>
        <v>1</v>
      </c>
      <c r="CX65" s="111">
        <f t="shared" ref="CX65" si="161">CX24</f>
        <v>0</v>
      </c>
      <c r="CY65" s="111">
        <f t="shared" si="158"/>
        <v>21</v>
      </c>
      <c r="CZ65" s="111">
        <f t="shared" si="158"/>
        <v>0</v>
      </c>
      <c r="DA65" s="111">
        <f t="shared" si="158"/>
        <v>3</v>
      </c>
      <c r="DB65" s="111">
        <f t="shared" si="158"/>
        <v>113</v>
      </c>
      <c r="DC65" s="111">
        <f t="shared" si="158"/>
        <v>0</v>
      </c>
      <c r="DD65" s="111">
        <f t="shared" si="158"/>
        <v>1</v>
      </c>
      <c r="DE65" s="111">
        <f t="shared" si="158"/>
        <v>1</v>
      </c>
      <c r="DF65" s="111">
        <f t="shared" si="158"/>
        <v>0</v>
      </c>
      <c r="DG65" s="111">
        <f t="shared" si="158"/>
        <v>67</v>
      </c>
      <c r="DH65" s="111">
        <f t="shared" si="158"/>
        <v>14</v>
      </c>
      <c r="DI65" s="111">
        <f t="shared" si="158"/>
        <v>11</v>
      </c>
      <c r="DJ65" s="111">
        <f t="shared" si="158"/>
        <v>7</v>
      </c>
      <c r="DK65" s="111">
        <f t="shared" ref="DK65" si="162">DK24</f>
        <v>3</v>
      </c>
      <c r="DL65" s="111">
        <f t="shared" si="158"/>
        <v>0</v>
      </c>
      <c r="DM65" s="111">
        <f t="shared" si="158"/>
        <v>71</v>
      </c>
      <c r="DN65" s="111">
        <f t="shared" si="158"/>
        <v>4</v>
      </c>
      <c r="DO65" s="111">
        <f t="shared" si="158"/>
        <v>47</v>
      </c>
      <c r="DP65" s="111">
        <f t="shared" si="158"/>
        <v>0</v>
      </c>
      <c r="DQ65" s="111">
        <f t="shared" si="158"/>
        <v>0</v>
      </c>
      <c r="DS65" s="111">
        <f t="shared" si="158"/>
        <v>57</v>
      </c>
      <c r="DT65" s="111">
        <f t="shared" si="158"/>
        <v>0</v>
      </c>
      <c r="DU65" s="111">
        <f t="shared" si="158"/>
        <v>2</v>
      </c>
      <c r="DV65" s="127">
        <f t="shared" si="113"/>
        <v>1281</v>
      </c>
      <c r="DW65" s="128"/>
    </row>
    <row r="66" spans="1:127" s="111" customFormat="1">
      <c r="A66" s="226">
        <v>2008</v>
      </c>
      <c r="B66" s="226"/>
      <c r="C66" s="110">
        <f t="shared" si="104"/>
        <v>50</v>
      </c>
      <c r="D66" s="111">
        <f t="shared" si="125"/>
        <v>441</v>
      </c>
      <c r="E66" s="111">
        <f t="shared" ref="E66:R66" si="163">E25</f>
        <v>26</v>
      </c>
      <c r="F66" s="111">
        <f t="shared" si="163"/>
        <v>16</v>
      </c>
      <c r="G66" s="111">
        <f t="shared" si="163"/>
        <v>18</v>
      </c>
      <c r="H66" s="111">
        <f t="shared" si="163"/>
        <v>10</v>
      </c>
      <c r="I66" s="111">
        <f t="shared" si="28"/>
        <v>0</v>
      </c>
      <c r="J66" s="111">
        <f t="shared" si="163"/>
        <v>614</v>
      </c>
      <c r="K66" s="111">
        <f t="shared" si="163"/>
        <v>21</v>
      </c>
      <c r="L66" s="111">
        <f t="shared" si="163"/>
        <v>4</v>
      </c>
      <c r="M66" s="111">
        <f t="shared" ref="M66:N66" si="164">M25</f>
        <v>2</v>
      </c>
      <c r="N66" s="111">
        <f t="shared" si="164"/>
        <v>0</v>
      </c>
      <c r="O66" s="111">
        <f t="shared" si="30"/>
        <v>267</v>
      </c>
      <c r="P66" s="111">
        <f t="shared" si="163"/>
        <v>42</v>
      </c>
      <c r="Q66" s="111">
        <f t="shared" si="163"/>
        <v>5</v>
      </c>
      <c r="R66" s="112">
        <f t="shared" si="163"/>
        <v>2</v>
      </c>
      <c r="S66" s="127">
        <f t="shared" si="39"/>
        <v>1518</v>
      </c>
      <c r="T66" s="163">
        <f t="shared" si="147"/>
        <v>0</v>
      </c>
      <c r="U66" s="157">
        <f t="shared" si="92"/>
        <v>580</v>
      </c>
      <c r="V66" s="157">
        <f t="shared" si="92"/>
        <v>469</v>
      </c>
      <c r="W66" s="157">
        <f t="shared" si="148"/>
        <v>0</v>
      </c>
      <c r="X66" s="164">
        <f t="shared" si="148"/>
        <v>2</v>
      </c>
      <c r="Z66" s="163">
        <f t="shared" si="156"/>
        <v>63591424</v>
      </c>
      <c r="AA66" s="157"/>
      <c r="AB66" s="157"/>
      <c r="AC66" s="163">
        <f t="shared" si="156"/>
        <v>17378992</v>
      </c>
      <c r="AD66" s="164"/>
      <c r="AE66" s="120">
        <f t="shared" si="81"/>
        <v>17378992</v>
      </c>
      <c r="AG66" s="163">
        <f t="shared" si="157"/>
        <v>1788</v>
      </c>
      <c r="AH66" s="157">
        <f t="shared" si="157"/>
        <v>1673</v>
      </c>
      <c r="AI66" s="157">
        <f t="shared" si="157"/>
        <v>3751</v>
      </c>
      <c r="AJ66" s="164"/>
      <c r="AL66" s="121">
        <f t="shared" ref="AL66:AM66" si="165">AL25</f>
        <v>0</v>
      </c>
      <c r="AM66" s="122">
        <f t="shared" si="165"/>
        <v>43.25</v>
      </c>
      <c r="AN66" s="120">
        <f t="shared" si="63"/>
        <v>43</v>
      </c>
      <c r="AO66" s="121"/>
      <c r="AP66" s="122"/>
      <c r="AQ66" s="120">
        <f t="shared" si="64"/>
        <v>0</v>
      </c>
      <c r="AR66" s="122">
        <f t="shared" si="110"/>
        <v>137.125</v>
      </c>
      <c r="AS66" s="122">
        <f t="shared" si="110"/>
        <v>53.153846153846153</v>
      </c>
      <c r="AT66" s="122">
        <f t="shared" si="110"/>
        <v>114.53846153846153</v>
      </c>
      <c r="AU66" s="122">
        <f t="shared" si="110"/>
        <v>16.692307692307693</v>
      </c>
      <c r="AV66" s="123">
        <f t="shared" si="110"/>
        <v>220.38461538461539</v>
      </c>
      <c r="AW66"/>
      <c r="AX66" s="356"/>
      <c r="AY66"/>
      <c r="BA66" s="121">
        <f t="shared" ref="BA66:BB66" si="166">BA25</f>
        <v>1871</v>
      </c>
      <c r="BB66" s="122">
        <f t="shared" si="166"/>
        <v>50730100.166666664</v>
      </c>
      <c r="BC66" s="122"/>
      <c r="BD66" s="122"/>
      <c r="BE66" s="111">
        <f>(BE25/FILESTAT!$C$592)*24</f>
        <v>1118</v>
      </c>
      <c r="BF66" s="111">
        <f>(BF25/FILESTAT!$C$592)*24</f>
        <v>41</v>
      </c>
      <c r="BG66" s="111">
        <f>(BG25/FILESTAT!$C$592)*24</f>
        <v>30</v>
      </c>
      <c r="BI66" s="122">
        <f t="shared" si="117"/>
        <v>3635317.6666666665</v>
      </c>
      <c r="BJ66" s="122"/>
      <c r="BK66" s="122"/>
      <c r="BL66" s="122">
        <f t="shared" si="118"/>
        <v>14.416666666666666</v>
      </c>
      <c r="BM66" s="168">
        <f t="shared" si="97"/>
        <v>0</v>
      </c>
      <c r="BO66" s="121">
        <f t="shared" ref="BO66:BP66" si="167">BO25</f>
        <v>0</v>
      </c>
      <c r="BP66" s="123">
        <f t="shared" si="167"/>
        <v>161.5</v>
      </c>
      <c r="BR66" s="246"/>
      <c r="BS66" s="166"/>
      <c r="BT66" s="247"/>
      <c r="BV66" s="110">
        <f t="shared" si="119"/>
        <v>65</v>
      </c>
      <c r="BW66" s="111">
        <f t="shared" si="119"/>
        <v>29</v>
      </c>
      <c r="BX66" s="111">
        <f t="shared" si="119"/>
        <v>21</v>
      </c>
      <c r="BY66" s="111">
        <f t="shared" si="119"/>
        <v>1</v>
      </c>
      <c r="BZ66" s="111">
        <f t="shared" si="119"/>
        <v>12</v>
      </c>
      <c r="CA66" s="111">
        <f t="shared" si="119"/>
        <v>4</v>
      </c>
      <c r="CB66" s="111">
        <f t="shared" si="119"/>
        <v>1</v>
      </c>
      <c r="CD66" s="111">
        <f t="shared" si="119"/>
        <v>123</v>
      </c>
      <c r="CE66" s="111">
        <f t="shared" ref="CE66:DU66" si="168">CE25</f>
        <v>25</v>
      </c>
      <c r="CF66" s="111">
        <f t="shared" si="168"/>
        <v>0</v>
      </c>
      <c r="CG66" s="111">
        <f t="shared" si="168"/>
        <v>7</v>
      </c>
      <c r="CH66" s="111">
        <f t="shared" si="168"/>
        <v>30</v>
      </c>
      <c r="CI66" s="111">
        <f t="shared" si="168"/>
        <v>106</v>
      </c>
      <c r="CJ66" s="111">
        <f t="shared" si="168"/>
        <v>132</v>
      </c>
      <c r="CL66" s="111">
        <f t="shared" ref="CL66" si="169">CL25</f>
        <v>0</v>
      </c>
      <c r="CM66" s="111">
        <f t="shared" si="168"/>
        <v>29</v>
      </c>
      <c r="CN66" s="111">
        <f t="shared" si="168"/>
        <v>7</v>
      </c>
      <c r="CO66" s="111">
        <f t="shared" si="168"/>
        <v>164</v>
      </c>
      <c r="CP66" s="111">
        <f t="shared" ref="CP66" si="170">CP25</f>
        <v>0</v>
      </c>
      <c r="CQ66" s="111">
        <f t="shared" si="168"/>
        <v>8</v>
      </c>
      <c r="CS66" s="111">
        <f t="shared" si="168"/>
        <v>33</v>
      </c>
      <c r="CT66" s="111">
        <f t="shared" si="168"/>
        <v>122</v>
      </c>
      <c r="CU66" s="111">
        <f t="shared" si="168"/>
        <v>0</v>
      </c>
      <c r="CV66" s="111">
        <f t="shared" si="168"/>
        <v>52</v>
      </c>
      <c r="CW66" s="111">
        <f t="shared" si="168"/>
        <v>0</v>
      </c>
      <c r="CX66" s="111">
        <f t="shared" ref="CX66" si="171">CX25</f>
        <v>0</v>
      </c>
      <c r="CY66" s="111">
        <f t="shared" si="168"/>
        <v>56</v>
      </c>
      <c r="CZ66" s="111">
        <f t="shared" si="168"/>
        <v>1</v>
      </c>
      <c r="DA66" s="111">
        <f t="shared" si="168"/>
        <v>4</v>
      </c>
      <c r="DB66" s="111">
        <f t="shared" si="168"/>
        <v>164</v>
      </c>
      <c r="DC66" s="111">
        <f t="shared" si="168"/>
        <v>35</v>
      </c>
      <c r="DD66" s="111">
        <f t="shared" si="168"/>
        <v>5</v>
      </c>
      <c r="DE66" s="111">
        <f t="shared" si="168"/>
        <v>1</v>
      </c>
      <c r="DF66" s="111">
        <f t="shared" si="168"/>
        <v>1</v>
      </c>
      <c r="DG66" s="111">
        <f t="shared" si="168"/>
        <v>73</v>
      </c>
      <c r="DH66" s="111">
        <f t="shared" si="168"/>
        <v>27</v>
      </c>
      <c r="DI66" s="111">
        <f t="shared" si="168"/>
        <v>46</v>
      </c>
      <c r="DJ66" s="111">
        <f t="shared" si="168"/>
        <v>18</v>
      </c>
      <c r="DK66" s="111">
        <f t="shared" ref="DK66" si="172">DK25</f>
        <v>0</v>
      </c>
      <c r="DL66" s="111">
        <f t="shared" si="168"/>
        <v>3</v>
      </c>
      <c r="DM66" s="111">
        <f t="shared" si="168"/>
        <v>54</v>
      </c>
      <c r="DN66" s="111">
        <f t="shared" si="168"/>
        <v>1</v>
      </c>
      <c r="DO66" s="111">
        <f t="shared" si="168"/>
        <v>22</v>
      </c>
      <c r="DP66" s="111">
        <f t="shared" si="168"/>
        <v>0</v>
      </c>
      <c r="DQ66" s="111">
        <f t="shared" si="168"/>
        <v>2</v>
      </c>
      <c r="DS66" s="111">
        <f t="shared" si="168"/>
        <v>32</v>
      </c>
      <c r="DT66" s="111">
        <f t="shared" si="168"/>
        <v>0</v>
      </c>
      <c r="DU66" s="111">
        <f t="shared" si="168"/>
        <v>2</v>
      </c>
      <c r="DV66" s="127">
        <f t="shared" si="113"/>
        <v>1518</v>
      </c>
      <c r="DW66" s="128"/>
    </row>
    <row r="67" spans="1:127" s="111" customFormat="1">
      <c r="A67" s="165">
        <v>2009</v>
      </c>
      <c r="B67" s="226"/>
      <c r="C67" s="110">
        <f t="shared" si="104"/>
        <v>72</v>
      </c>
      <c r="D67" s="111">
        <f t="shared" si="125"/>
        <v>479</v>
      </c>
      <c r="E67" s="111">
        <f t="shared" ref="E67:R70" si="173">E26</f>
        <v>11</v>
      </c>
      <c r="F67" s="111">
        <f t="shared" si="173"/>
        <v>14</v>
      </c>
      <c r="G67" s="111">
        <f t="shared" si="173"/>
        <v>21</v>
      </c>
      <c r="H67" s="111">
        <f t="shared" si="173"/>
        <v>46</v>
      </c>
      <c r="I67" s="111">
        <f t="shared" si="28"/>
        <v>0</v>
      </c>
      <c r="J67" s="111">
        <f t="shared" si="173"/>
        <v>228</v>
      </c>
      <c r="K67" s="111">
        <f t="shared" si="173"/>
        <v>7</v>
      </c>
      <c r="L67" s="111">
        <f t="shared" si="173"/>
        <v>1</v>
      </c>
      <c r="M67" s="111">
        <f t="shared" ref="M67:N70" si="174">M26</f>
        <v>3</v>
      </c>
      <c r="N67" s="111">
        <f t="shared" si="174"/>
        <v>0</v>
      </c>
      <c r="O67" s="111">
        <f t="shared" si="30"/>
        <v>276</v>
      </c>
      <c r="P67" s="111">
        <f t="shared" si="173"/>
        <v>40</v>
      </c>
      <c r="Q67" s="111">
        <f t="shared" si="173"/>
        <v>1</v>
      </c>
      <c r="R67" s="112">
        <f t="shared" si="173"/>
        <v>0</v>
      </c>
      <c r="S67" s="127">
        <f t="shared" si="39"/>
        <v>1199</v>
      </c>
      <c r="T67" s="163">
        <f t="shared" si="147"/>
        <v>0</v>
      </c>
      <c r="U67" s="157">
        <f t="shared" si="92"/>
        <v>348</v>
      </c>
      <c r="V67" s="157">
        <f t="shared" si="92"/>
        <v>281</v>
      </c>
      <c r="W67" s="157">
        <f t="shared" si="148"/>
        <v>0</v>
      </c>
      <c r="X67" s="164">
        <f t="shared" si="148"/>
        <v>3</v>
      </c>
      <c r="Z67" s="163">
        <f t="shared" si="156"/>
        <v>62962152</v>
      </c>
      <c r="AA67" s="157"/>
      <c r="AB67" s="157"/>
      <c r="AC67" s="163">
        <f t="shared" si="156"/>
        <v>19648904</v>
      </c>
      <c r="AD67" s="164"/>
      <c r="AE67" s="120">
        <f t="shared" si="81"/>
        <v>19648904</v>
      </c>
      <c r="AG67" s="163">
        <f t="shared" si="157"/>
        <v>1771</v>
      </c>
      <c r="AH67" s="157">
        <f t="shared" si="157"/>
        <v>1664</v>
      </c>
      <c r="AI67" s="157">
        <f t="shared" si="157"/>
        <v>3738</v>
      </c>
      <c r="AJ67" s="164"/>
      <c r="AL67" s="121">
        <f t="shared" ref="AL67:AM67" si="175">AL26</f>
        <v>0</v>
      </c>
      <c r="AM67" s="122">
        <f t="shared" si="175"/>
        <v>39.25</v>
      </c>
      <c r="AN67" s="120">
        <f t="shared" si="63"/>
        <v>39</v>
      </c>
      <c r="AO67" s="121"/>
      <c r="AP67" s="122"/>
      <c r="AQ67" s="120">
        <f t="shared" si="64"/>
        <v>0</v>
      </c>
      <c r="AR67" s="122">
        <f t="shared" si="110"/>
        <v>137.375</v>
      </c>
      <c r="AS67" s="122">
        <f t="shared" si="110"/>
        <v>82.235294117647058</v>
      </c>
      <c r="AT67" s="122">
        <f t="shared" si="110"/>
        <v>132.8235294117647</v>
      </c>
      <c r="AU67" s="122">
        <f t="shared" si="110"/>
        <v>17</v>
      </c>
      <c r="AV67" s="123">
        <f t="shared" si="110"/>
        <v>278.35294117647061</v>
      </c>
      <c r="AW67"/>
      <c r="AX67" s="356"/>
      <c r="AY67"/>
      <c r="BA67" s="121">
        <f t="shared" ref="BA67:BB67" si="176">BA26</f>
        <v>1916</v>
      </c>
      <c r="BB67" s="122">
        <f t="shared" si="176"/>
        <v>57235961.75</v>
      </c>
      <c r="BC67" s="122"/>
      <c r="BD67" s="122"/>
      <c r="BE67" s="111">
        <f>(BE26/FILESTAT!$C$592)*24</f>
        <v>936</v>
      </c>
      <c r="BF67" s="111">
        <f>(BF26/FILESTAT!$C$592)*24</f>
        <v>77</v>
      </c>
      <c r="BG67" s="111">
        <f>(BG26/FILESTAT!$C$592)*24</f>
        <v>7</v>
      </c>
      <c r="BI67" s="122">
        <f t="shared" si="117"/>
        <v>3794218.0833333335</v>
      </c>
      <c r="BJ67" s="122"/>
      <c r="BK67" s="122"/>
      <c r="BL67" s="122">
        <f t="shared" si="118"/>
        <v>38.666666666666664</v>
      </c>
      <c r="BM67" s="168">
        <f t="shared" si="97"/>
        <v>0</v>
      </c>
      <c r="BO67" s="121">
        <f t="shared" ref="BO67:BP67" si="177">BO26</f>
        <v>0</v>
      </c>
      <c r="BP67" s="123">
        <f t="shared" si="177"/>
        <v>162.66666666666666</v>
      </c>
      <c r="BR67" s="246"/>
      <c r="BS67" s="166"/>
      <c r="BT67" s="247"/>
      <c r="BV67" s="110">
        <f t="shared" ref="BV67:DU67" si="178">BV26</f>
        <v>63</v>
      </c>
      <c r="BW67" s="111">
        <f t="shared" si="178"/>
        <v>21</v>
      </c>
      <c r="BX67" s="111">
        <f t="shared" si="178"/>
        <v>73</v>
      </c>
      <c r="BY67" s="111">
        <f t="shared" si="178"/>
        <v>0</v>
      </c>
      <c r="BZ67" s="111">
        <f t="shared" si="178"/>
        <v>0</v>
      </c>
      <c r="CA67" s="111">
        <f t="shared" si="178"/>
        <v>1</v>
      </c>
      <c r="CB67" s="111">
        <f t="shared" si="178"/>
        <v>8</v>
      </c>
      <c r="CD67" s="111">
        <f t="shared" si="178"/>
        <v>103</v>
      </c>
      <c r="CE67" s="111">
        <f t="shared" si="178"/>
        <v>11</v>
      </c>
      <c r="CF67" s="111">
        <f t="shared" si="178"/>
        <v>0</v>
      </c>
      <c r="CG67" s="111">
        <f t="shared" si="178"/>
        <v>4</v>
      </c>
      <c r="CH67" s="111">
        <f t="shared" si="178"/>
        <v>11</v>
      </c>
      <c r="CI67" s="111">
        <f t="shared" si="178"/>
        <v>119</v>
      </c>
      <c r="CJ67" s="111">
        <f t="shared" si="178"/>
        <v>70</v>
      </c>
      <c r="CL67" s="111">
        <f t="shared" ref="CL67" si="179">CL26</f>
        <v>0</v>
      </c>
      <c r="CM67" s="111">
        <f t="shared" si="178"/>
        <v>4</v>
      </c>
      <c r="CN67" s="111">
        <f t="shared" si="178"/>
        <v>2</v>
      </c>
      <c r="CO67" s="111">
        <f t="shared" si="178"/>
        <v>128</v>
      </c>
      <c r="CP67" s="111">
        <f t="shared" ref="CP67" si="180">CP26</f>
        <v>0</v>
      </c>
      <c r="CQ67" s="111">
        <f t="shared" si="178"/>
        <v>4</v>
      </c>
      <c r="CS67" s="111">
        <f t="shared" si="178"/>
        <v>23</v>
      </c>
      <c r="CT67" s="111">
        <f t="shared" si="178"/>
        <v>90</v>
      </c>
      <c r="CU67" s="111">
        <f t="shared" si="178"/>
        <v>0</v>
      </c>
      <c r="CV67" s="111">
        <f t="shared" si="178"/>
        <v>73</v>
      </c>
      <c r="CW67" s="111">
        <f t="shared" si="178"/>
        <v>3</v>
      </c>
      <c r="CX67" s="111">
        <f t="shared" ref="CX67" si="181">CX26</f>
        <v>2</v>
      </c>
      <c r="CY67" s="111">
        <f t="shared" si="178"/>
        <v>27</v>
      </c>
      <c r="CZ67" s="111">
        <f t="shared" si="178"/>
        <v>6</v>
      </c>
      <c r="DA67" s="111">
        <f t="shared" si="178"/>
        <v>4</v>
      </c>
      <c r="DB67" s="111">
        <f t="shared" si="178"/>
        <v>114</v>
      </c>
      <c r="DC67" s="111">
        <f t="shared" si="178"/>
        <v>25</v>
      </c>
      <c r="DD67" s="111">
        <f t="shared" si="178"/>
        <v>3</v>
      </c>
      <c r="DE67" s="111">
        <f t="shared" si="178"/>
        <v>1</v>
      </c>
      <c r="DF67" s="111">
        <f t="shared" si="178"/>
        <v>0</v>
      </c>
      <c r="DG67" s="111">
        <f t="shared" si="178"/>
        <v>54</v>
      </c>
      <c r="DH67" s="111">
        <f t="shared" si="178"/>
        <v>19</v>
      </c>
      <c r="DI67" s="111">
        <f t="shared" si="178"/>
        <v>7</v>
      </c>
      <c r="DJ67" s="111">
        <f t="shared" si="178"/>
        <v>4</v>
      </c>
      <c r="DK67" s="111">
        <f t="shared" ref="DK67" si="182">DK26</f>
        <v>0</v>
      </c>
      <c r="DL67" s="111">
        <f t="shared" si="178"/>
        <v>10</v>
      </c>
      <c r="DM67" s="111">
        <f t="shared" si="178"/>
        <v>43</v>
      </c>
      <c r="DN67" s="111">
        <f t="shared" si="178"/>
        <v>1</v>
      </c>
      <c r="DO67" s="111">
        <f t="shared" si="178"/>
        <v>34</v>
      </c>
      <c r="DP67" s="111">
        <f t="shared" si="178"/>
        <v>7</v>
      </c>
      <c r="DQ67" s="111">
        <f t="shared" si="178"/>
        <v>0</v>
      </c>
      <c r="DS67" s="111">
        <f t="shared" si="178"/>
        <v>27</v>
      </c>
      <c r="DT67" s="111">
        <f t="shared" si="178"/>
        <v>0</v>
      </c>
      <c r="DU67" s="111">
        <f t="shared" si="178"/>
        <v>0</v>
      </c>
      <c r="DV67" s="127">
        <f t="shared" ref="DV67:DV69" si="183">SUM(BV67:DU67)</f>
        <v>1199</v>
      </c>
      <c r="DW67" s="128"/>
    </row>
    <row r="68" spans="1:127" s="111" customFormat="1">
      <c r="A68" s="165">
        <v>2010</v>
      </c>
      <c r="B68" s="226"/>
      <c r="C68" s="110">
        <f t="shared" si="104"/>
        <v>61</v>
      </c>
      <c r="D68" s="111">
        <f t="shared" si="125"/>
        <v>444</v>
      </c>
      <c r="E68" s="111">
        <f t="shared" si="173"/>
        <v>31</v>
      </c>
      <c r="F68" s="111">
        <f t="shared" si="173"/>
        <v>11</v>
      </c>
      <c r="G68" s="111">
        <f t="shared" si="173"/>
        <v>18</v>
      </c>
      <c r="H68" s="111">
        <f t="shared" si="173"/>
        <v>17</v>
      </c>
      <c r="I68" s="111">
        <f t="shared" si="28"/>
        <v>0</v>
      </c>
      <c r="J68" s="111">
        <f t="shared" si="173"/>
        <v>248</v>
      </c>
      <c r="K68" s="111">
        <f t="shared" si="173"/>
        <v>13</v>
      </c>
      <c r="L68" s="111">
        <f t="shared" si="173"/>
        <v>1</v>
      </c>
      <c r="M68" s="111">
        <f t="shared" si="174"/>
        <v>1</v>
      </c>
      <c r="N68" s="111">
        <f t="shared" si="174"/>
        <v>0</v>
      </c>
      <c r="O68" s="111">
        <f t="shared" si="30"/>
        <v>134</v>
      </c>
      <c r="P68" s="111">
        <f t="shared" si="173"/>
        <v>37</v>
      </c>
      <c r="Q68" s="111">
        <f t="shared" si="173"/>
        <v>1</v>
      </c>
      <c r="R68" s="112">
        <f t="shared" si="173"/>
        <v>0</v>
      </c>
      <c r="S68" s="127">
        <f>SUM(C68:R68)</f>
        <v>1017</v>
      </c>
      <c r="T68" s="163">
        <f t="shared" si="147"/>
        <v>0</v>
      </c>
      <c r="U68" s="157">
        <f t="shared" si="92"/>
        <v>245</v>
      </c>
      <c r="V68" s="157">
        <f t="shared" si="92"/>
        <v>206</v>
      </c>
      <c r="W68" s="157">
        <f t="shared" si="148"/>
        <v>0</v>
      </c>
      <c r="X68" s="164">
        <f t="shared" si="148"/>
        <v>4</v>
      </c>
      <c r="Z68" s="163">
        <f t="shared" si="156"/>
        <v>11348628</v>
      </c>
      <c r="AA68" s="157"/>
      <c r="AB68" s="157"/>
      <c r="AC68" s="163">
        <f t="shared" si="156"/>
        <v>15200749</v>
      </c>
      <c r="AD68" s="164"/>
      <c r="AE68" s="120">
        <f t="shared" si="81"/>
        <v>15200749</v>
      </c>
      <c r="AG68" s="163">
        <f t="shared" si="157"/>
        <v>1878</v>
      </c>
      <c r="AH68" s="157">
        <f t="shared" si="157"/>
        <v>415</v>
      </c>
      <c r="AI68" s="157">
        <f t="shared" si="157"/>
        <v>2696</v>
      </c>
      <c r="AJ68" s="164"/>
      <c r="AL68" s="121">
        <f t="shared" ref="AL68:AM68" si="184">AL27</f>
        <v>0</v>
      </c>
      <c r="AM68" s="122">
        <f t="shared" si="184"/>
        <v>38</v>
      </c>
      <c r="AN68" s="120">
        <f t="shared" si="63"/>
        <v>38</v>
      </c>
      <c r="AO68" s="121"/>
      <c r="AP68" s="122"/>
      <c r="AQ68" s="120">
        <f t="shared" si="64"/>
        <v>0</v>
      </c>
      <c r="AR68" s="122">
        <f t="shared" si="110"/>
        <v>138.04166666666666</v>
      </c>
      <c r="AS68" s="122">
        <f t="shared" si="110"/>
        <v>90.95</v>
      </c>
      <c r="AT68" s="122">
        <f t="shared" si="110"/>
        <v>148.35</v>
      </c>
      <c r="AU68" s="122">
        <f t="shared" si="110"/>
        <v>16.45</v>
      </c>
      <c r="AV68" s="123">
        <f t="shared" si="110"/>
        <v>304.39999999999998</v>
      </c>
      <c r="AW68"/>
      <c r="AX68" s="356"/>
      <c r="AY68"/>
      <c r="BA68" s="121">
        <f t="shared" ref="BA68:BB68" si="185">BA27</f>
        <v>1959</v>
      </c>
      <c r="BB68" s="122">
        <f t="shared" si="185"/>
        <v>62491940.416666664</v>
      </c>
      <c r="BC68" s="122"/>
      <c r="BD68" s="122"/>
      <c r="BE68" s="111">
        <f>(BE27/FILESTAT!$C$592)*24</f>
        <v>782</v>
      </c>
      <c r="BF68" s="111">
        <f>(BF27/FILESTAT!$C$592)*24</f>
        <v>60</v>
      </c>
      <c r="BG68" s="111">
        <f>(BG27/FILESTAT!$C$592)*24</f>
        <v>29</v>
      </c>
      <c r="BI68" s="122">
        <f t="shared" si="117"/>
        <v>3513974.9166666665</v>
      </c>
      <c r="BJ68" s="122"/>
      <c r="BK68" s="122"/>
      <c r="BL68" s="122">
        <f t="shared" si="118"/>
        <v>50.166666666666664</v>
      </c>
      <c r="BM68" s="168">
        <f t="shared" si="97"/>
        <v>0</v>
      </c>
      <c r="BO68" s="121">
        <f t="shared" ref="BO68:BP68" si="186">BO27</f>
        <v>0</v>
      </c>
      <c r="BP68" s="123">
        <f t="shared" si="186"/>
        <v>165.41666666666666</v>
      </c>
      <c r="BR68" s="246"/>
      <c r="BS68" s="166"/>
      <c r="BT68" s="247"/>
      <c r="BV68" s="110">
        <f t="shared" ref="BV68:DU68" si="187">BV27</f>
        <v>57</v>
      </c>
      <c r="BW68" s="111">
        <f t="shared" si="187"/>
        <v>21</v>
      </c>
      <c r="BX68" s="111">
        <f t="shared" si="187"/>
        <v>27</v>
      </c>
      <c r="BY68" s="111">
        <f t="shared" si="187"/>
        <v>0</v>
      </c>
      <c r="BZ68" s="111">
        <f t="shared" si="187"/>
        <v>0</v>
      </c>
      <c r="CA68" s="111">
        <f t="shared" si="187"/>
        <v>19</v>
      </c>
      <c r="CB68" s="111">
        <f t="shared" si="187"/>
        <v>2</v>
      </c>
      <c r="CD68" s="111">
        <f t="shared" si="187"/>
        <v>128</v>
      </c>
      <c r="CE68" s="111">
        <f t="shared" si="187"/>
        <v>5</v>
      </c>
      <c r="CF68" s="111">
        <f t="shared" si="187"/>
        <v>0</v>
      </c>
      <c r="CG68" s="111">
        <f t="shared" si="187"/>
        <v>0</v>
      </c>
      <c r="CH68" s="111">
        <f t="shared" si="187"/>
        <v>0</v>
      </c>
      <c r="CI68" s="111">
        <f t="shared" si="187"/>
        <v>51</v>
      </c>
      <c r="CJ68" s="111">
        <f t="shared" si="187"/>
        <v>93</v>
      </c>
      <c r="CL68" s="111">
        <f t="shared" ref="CL68" si="188">CL27</f>
        <v>0</v>
      </c>
      <c r="CM68" s="111">
        <f t="shared" si="187"/>
        <v>7</v>
      </c>
      <c r="CN68" s="111">
        <f t="shared" si="187"/>
        <v>5</v>
      </c>
      <c r="CO68" s="111">
        <f t="shared" si="187"/>
        <v>191</v>
      </c>
      <c r="CP68" s="111">
        <f t="shared" ref="CP68" si="189">CP27</f>
        <v>0</v>
      </c>
      <c r="CQ68" s="111">
        <f t="shared" si="187"/>
        <v>0</v>
      </c>
      <c r="CS68" s="111">
        <f t="shared" si="187"/>
        <v>19</v>
      </c>
      <c r="CT68" s="111">
        <f t="shared" si="187"/>
        <v>53</v>
      </c>
      <c r="CU68" s="111">
        <f t="shared" si="187"/>
        <v>0</v>
      </c>
      <c r="CV68" s="111">
        <f t="shared" si="187"/>
        <v>64</v>
      </c>
      <c r="CW68" s="111">
        <f t="shared" si="187"/>
        <v>4</v>
      </c>
      <c r="CX68" s="111">
        <f t="shared" ref="CX68" si="190">CX27</f>
        <v>5</v>
      </c>
      <c r="CY68" s="111">
        <f t="shared" si="187"/>
        <v>21</v>
      </c>
      <c r="CZ68" s="111">
        <f t="shared" si="187"/>
        <v>0</v>
      </c>
      <c r="DA68" s="111">
        <f t="shared" si="187"/>
        <v>4</v>
      </c>
      <c r="DB68" s="111">
        <f t="shared" si="187"/>
        <v>67</v>
      </c>
      <c r="DC68" s="111">
        <f t="shared" si="187"/>
        <v>1</v>
      </c>
      <c r="DD68" s="111">
        <f t="shared" si="187"/>
        <v>0</v>
      </c>
      <c r="DE68" s="111">
        <f t="shared" si="187"/>
        <v>1</v>
      </c>
      <c r="DF68" s="111">
        <f t="shared" si="187"/>
        <v>0</v>
      </c>
      <c r="DG68" s="111">
        <f t="shared" si="187"/>
        <v>32</v>
      </c>
      <c r="DH68" s="111">
        <f t="shared" si="187"/>
        <v>9</v>
      </c>
      <c r="DI68" s="111">
        <f t="shared" si="187"/>
        <v>7</v>
      </c>
      <c r="DJ68" s="111">
        <f t="shared" si="187"/>
        <v>12</v>
      </c>
      <c r="DK68" s="111">
        <f t="shared" ref="DK68" si="191">DK27</f>
        <v>0</v>
      </c>
      <c r="DL68" s="111">
        <f t="shared" si="187"/>
        <v>2</v>
      </c>
      <c r="DM68" s="111">
        <f t="shared" si="187"/>
        <v>49</v>
      </c>
      <c r="DN68" s="111">
        <f t="shared" si="187"/>
        <v>7</v>
      </c>
      <c r="DO68" s="111">
        <f t="shared" si="187"/>
        <v>24</v>
      </c>
      <c r="DP68" s="111">
        <f t="shared" si="187"/>
        <v>2</v>
      </c>
      <c r="DQ68" s="111">
        <f t="shared" si="187"/>
        <v>0</v>
      </c>
      <c r="DS68" s="111">
        <f t="shared" si="187"/>
        <v>28</v>
      </c>
      <c r="DT68" s="111">
        <f t="shared" si="187"/>
        <v>0</v>
      </c>
      <c r="DU68" s="111">
        <f t="shared" si="187"/>
        <v>0</v>
      </c>
      <c r="DV68" s="127">
        <f t="shared" si="183"/>
        <v>1017</v>
      </c>
      <c r="DW68" s="128"/>
    </row>
    <row r="69" spans="1:127" s="111" customFormat="1">
      <c r="A69" s="260">
        <v>2011</v>
      </c>
      <c r="B69" s="226"/>
      <c r="C69" s="110">
        <f t="shared" si="104"/>
        <v>53</v>
      </c>
      <c r="D69" s="111">
        <f t="shared" si="125"/>
        <v>463</v>
      </c>
      <c r="E69" s="111">
        <f t="shared" si="173"/>
        <v>39</v>
      </c>
      <c r="F69" s="111">
        <f t="shared" si="173"/>
        <v>12</v>
      </c>
      <c r="G69" s="111">
        <f t="shared" si="173"/>
        <v>8</v>
      </c>
      <c r="H69" s="111">
        <f t="shared" si="173"/>
        <v>17</v>
      </c>
      <c r="I69" s="111">
        <f t="shared" si="28"/>
        <v>1</v>
      </c>
      <c r="J69" s="111">
        <f t="shared" si="173"/>
        <v>267</v>
      </c>
      <c r="K69" s="111">
        <f t="shared" si="173"/>
        <v>0</v>
      </c>
      <c r="L69" s="111">
        <f t="shared" si="173"/>
        <v>4</v>
      </c>
      <c r="M69" s="111">
        <f t="shared" si="174"/>
        <v>2</v>
      </c>
      <c r="N69" s="111">
        <f t="shared" si="174"/>
        <v>0</v>
      </c>
      <c r="O69" s="111">
        <f t="shared" si="30"/>
        <v>321</v>
      </c>
      <c r="P69" s="111">
        <f t="shared" si="173"/>
        <v>26</v>
      </c>
      <c r="Q69" s="111">
        <f t="shared" si="173"/>
        <v>1</v>
      </c>
      <c r="R69" s="112">
        <f t="shared" si="173"/>
        <v>0</v>
      </c>
      <c r="S69" s="127">
        <f>SUM(C69:R69)</f>
        <v>1214</v>
      </c>
      <c r="T69" s="163">
        <f t="shared" si="147"/>
        <v>0</v>
      </c>
      <c r="U69" s="157">
        <f t="shared" si="92"/>
        <v>354</v>
      </c>
      <c r="V69" s="157">
        <f t="shared" si="92"/>
        <v>292</v>
      </c>
      <c r="W69" s="157">
        <f t="shared" si="148"/>
        <v>0</v>
      </c>
      <c r="X69" s="164">
        <f t="shared" si="148"/>
        <v>4</v>
      </c>
      <c r="Z69" s="163">
        <f t="shared" si="156"/>
        <v>8738088</v>
      </c>
      <c r="AA69" s="157"/>
      <c r="AB69" s="157"/>
      <c r="AC69" s="163">
        <f t="shared" si="156"/>
        <v>29147228</v>
      </c>
      <c r="AD69" s="164"/>
      <c r="AE69" s="120">
        <f t="shared" si="81"/>
        <v>29147228</v>
      </c>
      <c r="AG69" s="163">
        <f t="shared" si="157"/>
        <v>1993</v>
      </c>
      <c r="AH69" s="157">
        <f t="shared" si="157"/>
        <v>1228</v>
      </c>
      <c r="AI69" s="157">
        <f t="shared" si="157"/>
        <v>3580</v>
      </c>
      <c r="AJ69" s="164"/>
      <c r="AL69" s="121">
        <f t="shared" ref="AL69:AM69" si="192">AL28</f>
        <v>0</v>
      </c>
      <c r="AM69" s="122">
        <f t="shared" si="192"/>
        <v>36.5</v>
      </c>
      <c r="AN69" s="120">
        <f t="shared" si="63"/>
        <v>37</v>
      </c>
      <c r="AO69" s="121"/>
      <c r="AP69" s="122"/>
      <c r="AQ69" s="120"/>
      <c r="AR69" s="122">
        <f t="shared" si="110"/>
        <v>147</v>
      </c>
      <c r="AS69" s="122">
        <f t="shared" si="110"/>
        <v>97.9375</v>
      </c>
      <c r="AT69" s="122">
        <f t="shared" si="110"/>
        <v>165</v>
      </c>
      <c r="AU69" s="122">
        <f t="shared" si="110"/>
        <v>18.125</v>
      </c>
      <c r="AV69" s="123">
        <f t="shared" si="110"/>
        <v>329.5625</v>
      </c>
      <c r="AW69"/>
      <c r="AX69" s="356"/>
      <c r="AY69"/>
      <c r="BA69" s="121">
        <f t="shared" ref="BA69:BB71" si="193">BA28</f>
        <v>1974</v>
      </c>
      <c r="BB69" s="122">
        <f t="shared" si="193"/>
        <v>65815261.416666664</v>
      </c>
      <c r="BC69" s="122"/>
      <c r="BD69" s="122"/>
      <c r="BE69" s="111">
        <f>(BE28/FILESTAT!$C$592)*24</f>
        <v>939</v>
      </c>
      <c r="BF69" s="111">
        <f>(BF28/FILESTAT!$C$592)*24</f>
        <v>45</v>
      </c>
      <c r="BG69" s="111">
        <f>(BG28/FILESTAT!$C$592)*24</f>
        <v>34</v>
      </c>
      <c r="BI69" s="122">
        <f t="shared" si="117"/>
        <v>4014256.9166666665</v>
      </c>
      <c r="BJ69" s="122"/>
      <c r="BK69" s="122"/>
      <c r="BL69" s="122">
        <f t="shared" si="118"/>
        <v>1.75</v>
      </c>
      <c r="BM69" s="168">
        <f t="shared" si="97"/>
        <v>0</v>
      </c>
      <c r="BO69" s="121">
        <f t="shared" ref="BO69:BP71" si="194">BO28</f>
        <v>0</v>
      </c>
      <c r="BP69" s="123">
        <f t="shared" si="194"/>
        <v>166.08333333333334</v>
      </c>
      <c r="BR69" s="246"/>
      <c r="BS69" s="166"/>
      <c r="BT69" s="247"/>
      <c r="BV69" s="110">
        <f t="shared" ref="BV69:DU70" si="195">BV28</f>
        <v>31</v>
      </c>
      <c r="BW69" s="111">
        <f t="shared" si="195"/>
        <v>43</v>
      </c>
      <c r="BX69" s="111">
        <f t="shared" si="195"/>
        <v>21</v>
      </c>
      <c r="BY69" s="111">
        <f t="shared" si="195"/>
        <v>0</v>
      </c>
      <c r="BZ69" s="111">
        <f t="shared" si="195"/>
        <v>0</v>
      </c>
      <c r="CA69" s="111">
        <f t="shared" si="195"/>
        <v>9</v>
      </c>
      <c r="CB69" s="111">
        <f t="shared" si="195"/>
        <v>1</v>
      </c>
      <c r="CD69" s="111">
        <f t="shared" si="195"/>
        <v>119</v>
      </c>
      <c r="CE69" s="111">
        <f t="shared" si="195"/>
        <v>11</v>
      </c>
      <c r="CF69" s="111">
        <f t="shared" si="195"/>
        <v>0</v>
      </c>
      <c r="CG69" s="111">
        <f t="shared" si="195"/>
        <v>39</v>
      </c>
      <c r="CH69" s="111">
        <f t="shared" si="195"/>
        <v>0</v>
      </c>
      <c r="CI69" s="111">
        <f t="shared" si="195"/>
        <v>90</v>
      </c>
      <c r="CJ69" s="111">
        <f t="shared" si="195"/>
        <v>82</v>
      </c>
      <c r="CL69" s="111">
        <f t="shared" ref="CL69" si="196">CL28</f>
        <v>9</v>
      </c>
      <c r="CM69" s="111">
        <f t="shared" si="195"/>
        <v>3</v>
      </c>
      <c r="CN69" s="111">
        <f t="shared" si="195"/>
        <v>20</v>
      </c>
      <c r="CO69" s="111">
        <f t="shared" si="195"/>
        <v>191</v>
      </c>
      <c r="CP69" s="111">
        <f t="shared" ref="CP69" si="197">CP28</f>
        <v>0</v>
      </c>
      <c r="CQ69" s="111">
        <f t="shared" si="195"/>
        <v>1</v>
      </c>
      <c r="CS69" s="111">
        <f t="shared" si="195"/>
        <v>21</v>
      </c>
      <c r="CT69" s="111">
        <f t="shared" si="195"/>
        <v>48</v>
      </c>
      <c r="CU69" s="111">
        <f t="shared" si="195"/>
        <v>0</v>
      </c>
      <c r="CV69" s="111">
        <f t="shared" si="195"/>
        <v>54</v>
      </c>
      <c r="CW69" s="111">
        <f t="shared" si="195"/>
        <v>2</v>
      </c>
      <c r="CX69" s="111">
        <f t="shared" ref="CX69" si="198">CX28</f>
        <v>2</v>
      </c>
      <c r="CY69" s="111">
        <f t="shared" si="195"/>
        <v>18</v>
      </c>
      <c r="CZ69" s="111">
        <f t="shared" si="195"/>
        <v>4</v>
      </c>
      <c r="DA69" s="111">
        <f t="shared" si="195"/>
        <v>9</v>
      </c>
      <c r="DB69" s="111">
        <f t="shared" si="195"/>
        <v>160</v>
      </c>
      <c r="DC69" s="111">
        <f t="shared" si="195"/>
        <v>3</v>
      </c>
      <c r="DD69" s="111">
        <f t="shared" si="195"/>
        <v>0</v>
      </c>
      <c r="DE69" s="111">
        <f t="shared" si="195"/>
        <v>0</v>
      </c>
      <c r="DF69" s="111">
        <f t="shared" si="195"/>
        <v>0</v>
      </c>
      <c r="DG69" s="111">
        <f t="shared" si="195"/>
        <v>60</v>
      </c>
      <c r="DH69" s="111">
        <f t="shared" si="195"/>
        <v>8</v>
      </c>
      <c r="DI69" s="111">
        <f t="shared" si="195"/>
        <v>8</v>
      </c>
      <c r="DJ69" s="111">
        <f t="shared" si="195"/>
        <v>14</v>
      </c>
      <c r="DK69" s="111">
        <f t="shared" ref="DK69" si="199">DK28</f>
        <v>0</v>
      </c>
      <c r="DL69" s="111">
        <f t="shared" si="195"/>
        <v>0</v>
      </c>
      <c r="DM69" s="111">
        <f t="shared" si="195"/>
        <v>56</v>
      </c>
      <c r="DN69" s="111">
        <f t="shared" si="195"/>
        <v>15</v>
      </c>
      <c r="DO69" s="111">
        <f t="shared" si="195"/>
        <v>24</v>
      </c>
      <c r="DP69" s="111">
        <f t="shared" si="195"/>
        <v>3</v>
      </c>
      <c r="DQ69" s="111">
        <f t="shared" si="195"/>
        <v>0</v>
      </c>
      <c r="DS69" s="111">
        <f t="shared" si="195"/>
        <v>35</v>
      </c>
      <c r="DT69" s="111">
        <f t="shared" si="195"/>
        <v>0</v>
      </c>
      <c r="DU69" s="111">
        <f t="shared" si="195"/>
        <v>0</v>
      </c>
      <c r="DV69" s="127">
        <f t="shared" si="183"/>
        <v>1214</v>
      </c>
      <c r="DW69" s="128"/>
    </row>
    <row r="70" spans="1:127" s="111" customFormat="1">
      <c r="A70" s="260">
        <v>2012</v>
      </c>
      <c r="B70" s="226"/>
      <c r="C70" s="110">
        <f t="shared" si="104"/>
        <v>83</v>
      </c>
      <c r="D70" s="111">
        <f t="shared" si="125"/>
        <v>548</v>
      </c>
      <c r="E70" s="111">
        <f t="shared" si="173"/>
        <v>45</v>
      </c>
      <c r="F70" s="111">
        <f t="shared" si="173"/>
        <v>15</v>
      </c>
      <c r="G70" s="111">
        <f t="shared" si="173"/>
        <v>15</v>
      </c>
      <c r="H70" s="111">
        <f t="shared" si="173"/>
        <v>21</v>
      </c>
      <c r="I70" s="111">
        <f t="shared" si="28"/>
        <v>0</v>
      </c>
      <c r="J70" s="111">
        <f t="shared" si="173"/>
        <v>518</v>
      </c>
      <c r="K70" s="111">
        <f t="shared" si="173"/>
        <v>29</v>
      </c>
      <c r="L70" s="111">
        <f t="shared" si="173"/>
        <v>12</v>
      </c>
      <c r="M70" s="111">
        <f t="shared" si="174"/>
        <v>0</v>
      </c>
      <c r="N70" s="111">
        <f t="shared" si="174"/>
        <v>0</v>
      </c>
      <c r="O70" s="111">
        <f t="shared" si="30"/>
        <v>110</v>
      </c>
      <c r="P70" s="111">
        <f t="shared" si="173"/>
        <v>24</v>
      </c>
      <c r="Q70" s="111">
        <f t="shared" si="173"/>
        <v>3</v>
      </c>
      <c r="R70" s="112">
        <f t="shared" si="173"/>
        <v>0</v>
      </c>
      <c r="S70" s="120">
        <f>SUM(C70:R70)</f>
        <v>1423</v>
      </c>
      <c r="T70" s="163">
        <f t="shared" si="147"/>
        <v>0</v>
      </c>
      <c r="U70" s="157">
        <f t="shared" si="92"/>
        <v>284</v>
      </c>
      <c r="V70" s="157">
        <f t="shared" si="92"/>
        <v>244</v>
      </c>
      <c r="W70" s="157">
        <f t="shared" si="148"/>
        <v>0</v>
      </c>
      <c r="X70" s="164">
        <f t="shared" si="148"/>
        <v>4</v>
      </c>
      <c r="Z70" s="163">
        <f t="shared" si="156"/>
        <v>9375013</v>
      </c>
      <c r="AA70" s="157"/>
      <c r="AB70" s="157"/>
      <c r="AC70" s="163">
        <f t="shared" si="156"/>
        <v>42818874</v>
      </c>
      <c r="AD70" s="164"/>
      <c r="AE70" s="120">
        <f t="shared" si="81"/>
        <v>42818874</v>
      </c>
      <c r="AG70" s="163">
        <f t="shared" si="157"/>
        <v>2354</v>
      </c>
      <c r="AH70" s="157">
        <f t="shared" si="157"/>
        <v>1282</v>
      </c>
      <c r="AI70" s="157">
        <f t="shared" si="157"/>
        <v>4036</v>
      </c>
      <c r="AJ70" s="164"/>
      <c r="AL70" s="121">
        <f t="shared" ref="AL70:AM70" si="200">AL29</f>
        <v>0</v>
      </c>
      <c r="AM70" s="122">
        <f t="shared" si="200"/>
        <v>36</v>
      </c>
      <c r="AN70" s="120">
        <f t="shared" si="63"/>
        <v>36</v>
      </c>
      <c r="AO70" s="121"/>
      <c r="AP70" s="122"/>
      <c r="AQ70" s="120"/>
      <c r="AR70" s="122">
        <f t="shared" si="110"/>
        <v>153.75</v>
      </c>
      <c r="AS70" s="122">
        <f t="shared" si="110"/>
        <v>107.46666666666667</v>
      </c>
      <c r="AT70" s="122">
        <f t="shared" si="110"/>
        <v>182.4</v>
      </c>
      <c r="AU70" s="122">
        <f t="shared" si="110"/>
        <v>21.2</v>
      </c>
      <c r="AV70" s="123">
        <f t="shared" si="110"/>
        <v>358.46666666666664</v>
      </c>
      <c r="AW70"/>
      <c r="AX70" s="356"/>
      <c r="AY70"/>
      <c r="BA70" s="121">
        <f t="shared" si="193"/>
        <v>1979</v>
      </c>
      <c r="BB70" s="122">
        <f t="shared" si="193"/>
        <v>70918196.166666672</v>
      </c>
      <c r="BC70" s="122"/>
      <c r="BD70" s="122"/>
      <c r="BE70" s="111">
        <f>(BE29/FILESTAT!$C$592)*24</f>
        <v>1093</v>
      </c>
      <c r="BF70" s="111">
        <f>(BF29/FILESTAT!$C$592)*24</f>
        <v>69</v>
      </c>
      <c r="BG70" s="111">
        <f>(BG29/FILESTAT!$C$592)*24</f>
        <v>56</v>
      </c>
      <c r="BI70" s="122">
        <f t="shared" si="117"/>
        <v>4666286.333333333</v>
      </c>
      <c r="BJ70" s="122"/>
      <c r="BK70" s="122"/>
      <c r="BL70" s="122">
        <f t="shared" si="118"/>
        <v>3.6666666666666665</v>
      </c>
      <c r="BM70" s="168">
        <f t="shared" si="97"/>
        <v>0</v>
      </c>
      <c r="BO70" s="121">
        <f t="shared" si="194"/>
        <v>0</v>
      </c>
      <c r="BP70" s="123">
        <f t="shared" si="194"/>
        <v>166.75</v>
      </c>
      <c r="BR70" s="246"/>
      <c r="BS70" s="166"/>
      <c r="BT70" s="247"/>
      <c r="BV70" s="110">
        <f t="shared" si="195"/>
        <v>34</v>
      </c>
      <c r="BW70" s="111">
        <f t="shared" si="195"/>
        <v>36</v>
      </c>
      <c r="BX70" s="111">
        <f t="shared" si="195"/>
        <v>60</v>
      </c>
      <c r="BY70" s="111">
        <f t="shared" si="195"/>
        <v>4</v>
      </c>
      <c r="BZ70" s="111">
        <f t="shared" si="195"/>
        <v>0</v>
      </c>
      <c r="CA70" s="111">
        <f t="shared" si="195"/>
        <v>8</v>
      </c>
      <c r="CB70" s="111">
        <f t="shared" si="195"/>
        <v>0</v>
      </c>
      <c r="CD70" s="111">
        <f t="shared" si="195"/>
        <v>115</v>
      </c>
      <c r="CE70" s="111">
        <f t="shared" si="195"/>
        <v>49</v>
      </c>
      <c r="CF70" s="111">
        <f t="shared" si="195"/>
        <v>0</v>
      </c>
      <c r="CG70" s="111">
        <f t="shared" si="195"/>
        <v>42</v>
      </c>
      <c r="CH70" s="111">
        <f t="shared" si="195"/>
        <v>2</v>
      </c>
      <c r="CI70" s="111">
        <f t="shared" si="195"/>
        <v>120</v>
      </c>
      <c r="CJ70" s="111">
        <f t="shared" si="195"/>
        <v>127</v>
      </c>
      <c r="CL70" s="111">
        <f t="shared" ref="CL70" si="201">CL29</f>
        <v>0</v>
      </c>
      <c r="CM70" s="111">
        <f t="shared" si="195"/>
        <v>7</v>
      </c>
      <c r="CN70" s="111">
        <f t="shared" si="195"/>
        <v>12</v>
      </c>
      <c r="CO70" s="111">
        <f t="shared" si="195"/>
        <v>179</v>
      </c>
      <c r="CP70" s="111">
        <f t="shared" ref="CP70" si="202">CP29</f>
        <v>0</v>
      </c>
      <c r="CQ70" s="111">
        <f t="shared" si="195"/>
        <v>1</v>
      </c>
      <c r="CS70" s="111">
        <f t="shared" si="195"/>
        <v>31</v>
      </c>
      <c r="CT70" s="111">
        <f t="shared" si="195"/>
        <v>53</v>
      </c>
      <c r="CU70" s="111">
        <f t="shared" si="195"/>
        <v>0</v>
      </c>
      <c r="CV70" s="111">
        <f t="shared" si="195"/>
        <v>66</v>
      </c>
      <c r="CW70" s="111">
        <f t="shared" si="195"/>
        <v>0</v>
      </c>
      <c r="CX70" s="111">
        <f t="shared" ref="CX70" si="203">CX29</f>
        <v>4</v>
      </c>
      <c r="CY70" s="111">
        <f t="shared" si="195"/>
        <v>28</v>
      </c>
      <c r="CZ70" s="111">
        <f t="shared" si="195"/>
        <v>0</v>
      </c>
      <c r="DA70" s="111">
        <f t="shared" si="195"/>
        <v>2</v>
      </c>
      <c r="DB70" s="111">
        <f t="shared" si="195"/>
        <v>117</v>
      </c>
      <c r="DC70" s="111">
        <f t="shared" si="195"/>
        <v>22</v>
      </c>
      <c r="DD70" s="111">
        <f t="shared" si="195"/>
        <v>0</v>
      </c>
      <c r="DE70" s="111">
        <f t="shared" si="195"/>
        <v>1</v>
      </c>
      <c r="DF70" s="111">
        <f t="shared" si="195"/>
        <v>3</v>
      </c>
      <c r="DG70" s="111">
        <f t="shared" si="195"/>
        <v>53</v>
      </c>
      <c r="DH70" s="111">
        <f t="shared" si="195"/>
        <v>23</v>
      </c>
      <c r="DI70" s="111">
        <f t="shared" si="195"/>
        <v>20</v>
      </c>
      <c r="DJ70" s="111">
        <f t="shared" si="195"/>
        <v>13</v>
      </c>
      <c r="DK70" s="111">
        <f t="shared" ref="DK70" si="204">DK29</f>
        <v>4</v>
      </c>
      <c r="DL70" s="111">
        <f t="shared" si="195"/>
        <v>0</v>
      </c>
      <c r="DM70" s="111">
        <f t="shared" si="195"/>
        <v>66</v>
      </c>
      <c r="DN70" s="111">
        <f t="shared" si="195"/>
        <v>1</v>
      </c>
      <c r="DO70" s="111">
        <f t="shared" si="195"/>
        <v>65</v>
      </c>
      <c r="DP70" s="111">
        <f t="shared" si="195"/>
        <v>0</v>
      </c>
      <c r="DQ70" s="111">
        <f t="shared" si="195"/>
        <v>0</v>
      </c>
      <c r="DS70" s="111">
        <f t="shared" si="195"/>
        <v>50</v>
      </c>
      <c r="DT70" s="111">
        <f t="shared" si="195"/>
        <v>0</v>
      </c>
      <c r="DU70" s="111">
        <f t="shared" si="195"/>
        <v>0</v>
      </c>
      <c r="DV70" s="127">
        <f t="shared" ref="DV70" si="205">SUM(BV70:DU70)</f>
        <v>1418</v>
      </c>
      <c r="DW70" s="128"/>
    </row>
    <row r="71" spans="1:127" s="111" customFormat="1">
      <c r="A71" s="260">
        <v>2013</v>
      </c>
      <c r="B71" s="230"/>
      <c r="C71" s="366">
        <f>(C30/FILESTAT!$C$778)*24</f>
        <v>79</v>
      </c>
      <c r="D71" s="366">
        <f>(D30/FILESTAT!$C$778)*24</f>
        <v>433</v>
      </c>
      <c r="E71" s="366">
        <f>(E30/FILESTAT!$C$778)*24</f>
        <v>55</v>
      </c>
      <c r="F71" s="366">
        <f>(F30/FILESTAT!$C$778)*24</f>
        <v>16</v>
      </c>
      <c r="G71" s="366">
        <f>(G30/FILESTAT!$C$778)*24</f>
        <v>51</v>
      </c>
      <c r="H71" s="366">
        <f>(H30/FILESTAT!$C$778)*24</f>
        <v>21</v>
      </c>
      <c r="I71" s="366">
        <f>(I30/FILESTAT!$C$778)*24</f>
        <v>0</v>
      </c>
      <c r="J71" s="366">
        <f>(J30/FILESTAT!$C$778)*24</f>
        <v>549</v>
      </c>
      <c r="K71" s="366">
        <f>(K30/FILESTAT!$C$778)*24</f>
        <v>39</v>
      </c>
      <c r="L71" s="366">
        <f>(L30/FILESTAT!$C$778)*24</f>
        <v>5</v>
      </c>
      <c r="M71" s="366">
        <f>(M30/FILESTAT!$C$778)*24</f>
        <v>1</v>
      </c>
      <c r="N71" s="366">
        <f>(N30/FILESTAT!$C$778)*24</f>
        <v>0</v>
      </c>
      <c r="O71" s="366">
        <f>(O30/FILESTAT!$C$778)*24</f>
        <v>146</v>
      </c>
      <c r="P71" s="366">
        <f>(P30/FILESTAT!$C$778)*24</f>
        <v>25</v>
      </c>
      <c r="Q71" s="366">
        <f>(Q30/FILESTAT!$C$778)*24</f>
        <v>2</v>
      </c>
      <c r="R71" s="366">
        <f>(R30/FILESTAT!$C$778)*24</f>
        <v>0</v>
      </c>
      <c r="S71" s="120">
        <f t="shared" ref="S71" si="206">SUM(C71:R71)</f>
        <v>1422</v>
      </c>
      <c r="T71" s="231">
        <f>(T30/FILESTAT!$C$778)*24</f>
        <v>0</v>
      </c>
      <c r="U71" s="232">
        <f>(U30/FILESTAT!$C$778)*24</f>
        <v>207</v>
      </c>
      <c r="V71" s="232">
        <f>(V30/FILESTAT!$C$778)*24</f>
        <v>174</v>
      </c>
      <c r="W71" s="232">
        <f>(W30/FILESTAT!$C$778)*24</f>
        <v>3</v>
      </c>
      <c r="X71" s="233">
        <f>(X30/FILESTAT!$C$778)*24</f>
        <v>5</v>
      </c>
      <c r="Z71" s="231">
        <f>(Z30/FILESTAT!$C$778)*24</f>
        <v>9585134</v>
      </c>
      <c r="AA71" s="232">
        <f>(AA30/FILESTAT!$C$778)*24</f>
        <v>0</v>
      </c>
      <c r="AB71" s="171"/>
      <c r="AC71" s="231">
        <f>(AC30/FILESTAT!$C$778)*24</f>
        <v>57816627</v>
      </c>
      <c r="AD71" s="233">
        <f>(AD30/FILESTAT!$C$778)*24</f>
        <v>0</v>
      </c>
      <c r="AE71" s="120">
        <f t="shared" si="81"/>
        <v>57816627</v>
      </c>
      <c r="AG71" s="231">
        <f>(AG30/FILESTAT!$C$778)*24</f>
        <v>2417</v>
      </c>
      <c r="AH71" s="232">
        <f>(AH30/FILESTAT!$C$778)*24</f>
        <v>1263</v>
      </c>
      <c r="AI71" s="232">
        <f>(AI30/FILESTAT!$C$778)*24</f>
        <v>4063</v>
      </c>
      <c r="AJ71" s="233">
        <f>(AJ30/FILESTAT!$C$778)*24</f>
        <v>0</v>
      </c>
      <c r="AL71" s="121">
        <f t="shared" ref="AL71:AM71" si="207">AL30</f>
        <v>0</v>
      </c>
      <c r="AM71" s="122">
        <f t="shared" si="207"/>
        <v>32.5</v>
      </c>
      <c r="AN71" s="120">
        <f t="shared" si="63"/>
        <v>33</v>
      </c>
      <c r="AO71" s="121"/>
      <c r="AP71" s="122"/>
      <c r="AQ71" s="120"/>
      <c r="AR71" s="122">
        <f t="shared" si="110"/>
        <v>157.16666666666666</v>
      </c>
      <c r="AS71" s="122">
        <f t="shared" si="110"/>
        <v>122.94444444444444</v>
      </c>
      <c r="AT71" s="122">
        <f t="shared" si="110"/>
        <v>194</v>
      </c>
      <c r="AU71" s="122">
        <f t="shared" si="110"/>
        <v>22.611111111111111</v>
      </c>
      <c r="AV71" s="123">
        <f t="shared" si="110"/>
        <v>389.72222222222223</v>
      </c>
      <c r="AW71"/>
      <c r="AX71" s="356"/>
      <c r="AY71"/>
      <c r="BA71" s="121">
        <f t="shared" si="193"/>
        <v>1999</v>
      </c>
      <c r="BB71" s="122">
        <f t="shared" si="193"/>
        <v>73456833.25</v>
      </c>
      <c r="BC71" s="122"/>
      <c r="BD71" s="122"/>
      <c r="BE71" s="232">
        <f>(BE30/FILESTAT!$C$778)*24</f>
        <v>1124</v>
      </c>
      <c r="BF71" s="232">
        <f>(BF30/FILESTAT!$C$778)*24</f>
        <v>88</v>
      </c>
      <c r="BG71" s="232">
        <f>(BG30/FILESTAT!$C$778)*24</f>
        <v>58</v>
      </c>
      <c r="BH71" s="232"/>
      <c r="BI71" s="122">
        <f t="shared" si="117"/>
        <v>4235819.333333333</v>
      </c>
      <c r="BJ71" s="122"/>
      <c r="BK71" s="122"/>
      <c r="BL71" s="122">
        <f t="shared" si="118"/>
        <v>9.8333333333333339</v>
      </c>
      <c r="BM71" s="168">
        <f t="shared" si="97"/>
        <v>0</v>
      </c>
      <c r="BO71" s="121">
        <f t="shared" si="194"/>
        <v>0</v>
      </c>
      <c r="BP71" s="123">
        <f t="shared" si="194"/>
        <v>167.66666666666666</v>
      </c>
      <c r="BR71" s="246"/>
      <c r="BS71" s="166"/>
      <c r="BT71" s="247"/>
      <c r="BV71" s="169">
        <f>ROUND(TREND(BV$60:BV$70,,{12,13,14,15,16,17,18,19},),0)</f>
        <v>49</v>
      </c>
      <c r="BW71" s="171">
        <f>ROUND(TREND(BW$60:BW$70,,{12,13,14,15,16,17,18,19},),0)</f>
        <v>35</v>
      </c>
      <c r="BX71" s="171">
        <f>ROUND(TREND(BX$60:BX$70,,{12,13,14,15,16,17,18,19},),0)</f>
        <v>45</v>
      </c>
      <c r="BY71" s="171">
        <f>ROUND(TREND(BY$60:BY$70,,{12,13,14,15,16,17,18,19},),0)</f>
        <v>2</v>
      </c>
      <c r="BZ71" s="171">
        <f>ROUND(TREND(BZ$60:BZ$70,,{12,13,14,15,16,17,18,19},),0)</f>
        <v>2</v>
      </c>
      <c r="CA71" s="171">
        <f>ROUND(TREND(CA$60:CA$70,,{12,13,14,15,16,17,18,19},),0)</f>
        <v>12</v>
      </c>
      <c r="CB71" s="171">
        <f>ROUND(TREND(CB$60:CB$70,,{12,13,14,15,16,17,18,19},),0)</f>
        <v>3</v>
      </c>
      <c r="CC71" s="171"/>
      <c r="CD71" s="171">
        <f>ROUND(TREND(CD$60:CD$70,,{12,13,14,15,16,17,18,19},),0)</f>
        <v>129</v>
      </c>
      <c r="CE71" s="171">
        <f>ROUND(TREND(CE$60:CE$70,,{12,13,14,15,16,17,18,19},),0)</f>
        <v>31</v>
      </c>
      <c r="CF71" s="171">
        <f>ROUND(TREND(CF$60:CF$70,,{12,13,14,15,16,17,18,19},),0)</f>
        <v>-8</v>
      </c>
      <c r="CG71" s="171">
        <f>ROUND(TREND(CG$60:CG$70,,{12,13,14,15,16,17,18,19},),0)</f>
        <v>27</v>
      </c>
      <c r="CH71" s="171">
        <f>ROUND(TREND(CH$60:CH$70,,{12,13,14,15,16,17,18,19},),0)</f>
        <v>8</v>
      </c>
      <c r="CI71" s="171">
        <f>ROUND(TREND(CI$60:CI$70,,{12,13,14,15,16,17,18,19},),0)</f>
        <v>103</v>
      </c>
      <c r="CJ71" s="171">
        <f>ROUND(TREND(CJ$60:CJ$70,,{12,13,14,15,16,17,18,19},),0)</f>
        <v>108</v>
      </c>
      <c r="CK71" s="171"/>
      <c r="CL71" s="171">
        <f>ROUND(TREND(CL$60:CL$70,,{12,13,14,15,16,17,18,19},),0)</f>
        <v>3</v>
      </c>
      <c r="CM71" s="171">
        <f>ROUND(TREND(CM$60:CM$70,,{12,13,14,15,16,17,18,19},),0)</f>
        <v>6</v>
      </c>
      <c r="CN71" s="171">
        <f>ROUND(TREND(CN$60:CN$70,,{12,13,14,15,16,17,18,19},),0)</f>
        <v>14</v>
      </c>
      <c r="CO71" s="171">
        <f>ROUND(TREND(CO$60:CO$70,,{12,13,14,15,16,17,18,19},),0)</f>
        <v>192</v>
      </c>
      <c r="CP71" s="171">
        <f>ROUND(TREND(CP$60:CP$70,,{12,13,14,15,16,17,18,19},),0)</f>
        <v>0</v>
      </c>
      <c r="CQ71" s="171">
        <f>ROUND(TREND(CQ$60:CQ$70,,{12,13,14,15,16,17,18,19},),0)</f>
        <v>3</v>
      </c>
      <c r="CR71" s="171"/>
      <c r="CS71" s="171">
        <f>ROUND(TREND(CS$60:CS$70,,{12,13,14,15,16,17,18,19},),0)</f>
        <v>25</v>
      </c>
      <c r="CT71" s="171">
        <f>ROUND(TREND(CT$60:CT$70,,{12,13,14,15,16,17,18,19},),0)</f>
        <v>59</v>
      </c>
      <c r="CU71" s="171">
        <f>ROUND(TREND(CU$60:CU$70,,{12,13,14,15,16,17,18,19},),0)</f>
        <v>0</v>
      </c>
      <c r="CV71" s="171">
        <f>ROUND(TREND(CV$60:CV$70,,{12,13,14,15,16,17,18,19},),0)</f>
        <v>66</v>
      </c>
      <c r="CW71" s="171">
        <f>ROUND(TREND(CW$60:CW$70,,{12,13,14,15,16,17,18,19},),0)</f>
        <v>2</v>
      </c>
      <c r="CX71" s="171">
        <f>ROUND(TREND(CX$60:CX$70,,{12,13,14,15,16,17,18,19},),0)</f>
        <v>4</v>
      </c>
      <c r="CY71" s="171">
        <f>ROUND(TREND(CY$60:CY$70,,{12,13,14,15,16,17,18,19},),0)</f>
        <v>27</v>
      </c>
      <c r="CZ71" s="171">
        <f>ROUND(TREND(CZ$60:CZ$70,,{12,13,14,15,16,17,18,19},),0)</f>
        <v>2</v>
      </c>
      <c r="DA71" s="171">
        <f>ROUND(TREND(DA$60:DA$70,,{12,13,14,15,16,17,18,19},),0)</f>
        <v>6</v>
      </c>
      <c r="DB71" s="171">
        <f>ROUND(TREND(DB$60:DB$70,,{12,13,14,15,16,17,18,19},),0)</f>
        <v>125</v>
      </c>
      <c r="DC71" s="171">
        <f>ROUND(TREND(DC$60:DC$70,,{12,13,14,15,16,17,18,19},),0)</f>
        <v>19</v>
      </c>
      <c r="DD71" s="171">
        <f>ROUND(TREND(DD$60:DD$70,,{12,13,14,15,16,17,18,19},),0)</f>
        <v>1</v>
      </c>
      <c r="DE71" s="171">
        <f>ROUND(TREND(DE$60:DE$70,,{12,13,14,15,16,17,18,19},),0)</f>
        <v>1</v>
      </c>
      <c r="DF71" s="171">
        <f>ROUND(TREND(DF$60:DF$70,,{12,13,14,15,16,17,18,19},),0)</f>
        <v>1</v>
      </c>
      <c r="DG71" s="171">
        <f>ROUND(TREND(DG$60:DG$70,,{12,13,14,15,16,17,18,19},),0)</f>
        <v>58</v>
      </c>
      <c r="DH71" s="171">
        <f>ROUND(TREND(DH$60:DH$70,,{12,13,14,15,16,17,18,19},),0)</f>
        <v>17</v>
      </c>
      <c r="DI71" s="171">
        <f>ROUND(TREND(DI$60:DI$70,,{12,13,14,15,16,17,18,19},),0)</f>
        <v>14</v>
      </c>
      <c r="DJ71" s="171">
        <f>ROUND(TREND(DJ$60:DJ$70,,{12,13,14,15,16,17,18,19},),0)</f>
        <v>11</v>
      </c>
      <c r="DK71" s="171">
        <f>ROUND(TREND(DK$60:DK$70,,{12,13,14,15,16,17,18,19},),0)</f>
        <v>2</v>
      </c>
      <c r="DL71" s="171">
        <f>ROUND(TREND(DL$60:DL$70,,{12,13,14,15,16,17,18,19},),0)</f>
        <v>3</v>
      </c>
      <c r="DM71" s="171">
        <f>ROUND(TREND(DM$60:DM$70,,{12,13,14,15,16,17,18,19},),0)</f>
        <v>60</v>
      </c>
      <c r="DN71" s="171">
        <f>ROUND(TREND(DN$60:DN$70,,{12,13,14,15,16,17,18,19},),0)</f>
        <v>8</v>
      </c>
      <c r="DO71" s="171">
        <f>ROUND(TREND(DO$60:DO$70,,{12,13,14,15,16,17,18,19},),0)</f>
        <v>41</v>
      </c>
      <c r="DP71" s="171">
        <f>ROUND(TREND(DP$60:DP$70,,{12,13,14,15,16,17,18,19},),0)</f>
        <v>3</v>
      </c>
      <c r="DQ71" s="171">
        <f>ROUND(TREND(DQ$60:DQ$70,,{12,13,14,15,16,17,18,19},),0)</f>
        <v>0</v>
      </c>
      <c r="DR71" s="171"/>
      <c r="DS71" s="171">
        <f>ROUND(TREND(DS$60:DS$70,,{12,13,14,15,16,17,18,19},),0)</f>
        <v>40</v>
      </c>
      <c r="DT71" s="171">
        <f>ROUND(TREND(DT$60:DT$70,,{12,13,14,15,16,17,18,19},),0)</f>
        <v>-16</v>
      </c>
      <c r="DU71" s="171">
        <f>ROUND(TREND(DU$60:DU$70,,{12,13,14,15,16,17,18,19},),0)</f>
        <v>-9</v>
      </c>
      <c r="DV71" s="127">
        <f t="shared" si="113"/>
        <v>1334</v>
      </c>
      <c r="DW71" s="128"/>
    </row>
    <row r="72" spans="1:127" s="111" customFormat="1">
      <c r="A72" s="368" t="s">
        <v>316</v>
      </c>
      <c r="B72" s="230"/>
      <c r="C72" s="231">
        <f>(C31/FILESTAT!$C$810)*24</f>
        <v>0</v>
      </c>
      <c r="D72" s="232">
        <f>(D31/FILESTAT!$C$810)*24</f>
        <v>0</v>
      </c>
      <c r="E72" s="232">
        <f>(E31/FILESTAT!$C$810)*24</f>
        <v>0</v>
      </c>
      <c r="F72" s="232">
        <f>(F31/FILESTAT!$C$810)*24</f>
        <v>0</v>
      </c>
      <c r="G72" s="232">
        <f>(G31/FILESTAT!$C$810)*24</f>
        <v>0</v>
      </c>
      <c r="H72" s="232">
        <f>(H31/FILESTAT!$C$810)*24</f>
        <v>0</v>
      </c>
      <c r="I72" s="232">
        <f>(I31/FILESTAT!$C$810)*24</f>
        <v>0</v>
      </c>
      <c r="J72" s="232">
        <f>(J31/FILESTAT!$C$810)*24</f>
        <v>0</v>
      </c>
      <c r="K72" s="232">
        <f>(K31/FILESTAT!$C$810)*24</f>
        <v>0</v>
      </c>
      <c r="L72" s="232">
        <f>(L31/FILESTAT!$C$810)*24</f>
        <v>0</v>
      </c>
      <c r="M72" s="232">
        <f>(M31/FILESTAT!$C$810)*24</f>
        <v>0</v>
      </c>
      <c r="N72" s="232">
        <f>(N31/FILESTAT!$C$810)*24</f>
        <v>0</v>
      </c>
      <c r="O72" s="232">
        <f>(O31/FILESTAT!$C$810)*24</f>
        <v>0</v>
      </c>
      <c r="P72" s="232">
        <f>(P31/FILESTAT!$C$810)*24</f>
        <v>0</v>
      </c>
      <c r="Q72" s="232">
        <f>(Q31/FILESTAT!$C$810)*24</f>
        <v>0</v>
      </c>
      <c r="R72" s="233">
        <f>(R31/FILESTAT!$C$810)*24</f>
        <v>0</v>
      </c>
      <c r="S72" s="120">
        <f t="shared" ref="S72" si="208">SUM(C72:R72)</f>
        <v>0</v>
      </c>
      <c r="T72" s="231">
        <f>(T31/FILESTAT!$C$810)*24</f>
        <v>0</v>
      </c>
      <c r="U72" s="232">
        <f>(U31/FILESTAT!$C$810)*24</f>
        <v>0</v>
      </c>
      <c r="V72" s="232">
        <f>(V31/FILESTAT!$C$810)*24</f>
        <v>0</v>
      </c>
      <c r="W72" s="232">
        <f>(W31/FILESTAT!$C$810)*24</f>
        <v>0</v>
      </c>
      <c r="X72" s="233">
        <f>(X31/FILESTAT!$C$810)*24</f>
        <v>0</v>
      </c>
      <c r="Z72" s="169">
        <f>ROUND(TREND(Z$53:Z$70,,{20,21,22,23,24,25,26},),0)</f>
        <v>38026174</v>
      </c>
      <c r="AA72" s="171"/>
      <c r="AB72" s="171"/>
      <c r="AC72" s="169">
        <f>ROUND(TREND(AC$54:AC$70,,{19,20,21,22,23,24,25},),0)</f>
        <v>25191170</v>
      </c>
      <c r="AD72" s="170"/>
      <c r="AE72" s="120">
        <f t="shared" si="81"/>
        <v>25191170</v>
      </c>
      <c r="AG72" s="169">
        <f>ROUND(TREND(AG$46:AG$70,,{27,28,29,30,31,32,33},),0)</f>
        <v>1883</v>
      </c>
      <c r="AH72" s="171">
        <f>ROUND(TREND(AH$46:AH$70,,{27,28,29,30,31,32,33},),0)</f>
        <v>1488</v>
      </c>
      <c r="AI72" s="171">
        <f>ROUND(TREND(AI$46:AI$70,,{27,28,29,30,31,32,33},),0)</f>
        <v>3359</v>
      </c>
      <c r="AJ72" s="170"/>
      <c r="AL72" s="169"/>
      <c r="AM72" s="171"/>
      <c r="AN72" s="120">
        <f t="shared" si="63"/>
        <v>0</v>
      </c>
      <c r="AO72" s="171"/>
      <c r="AP72" s="171"/>
      <c r="AQ72" s="120"/>
      <c r="AR72" s="171">
        <f>ROUND(TREND(AR$60:AR$66,,{13,14,15,16,17,18},),0)</f>
        <v>120</v>
      </c>
      <c r="AS72" s="171">
        <f>ROUND(TREND(AS$60:AS$66,,{13,14,15,16,17,18},),0)</f>
        <v>68</v>
      </c>
      <c r="AT72" s="171">
        <f>ROUND(TREND(AT$60:AT$66,,{13,14,15,16,17,18},),0)</f>
        <v>71</v>
      </c>
      <c r="AU72" s="171">
        <f>ROUND(TREND(AU$60:AU$66,,{13,14,15,16,17,18},),0)</f>
        <v>9</v>
      </c>
      <c r="AV72" s="170">
        <f>ROUND(TREND(AV$60:AV$66,,{13,14,15,16,17,18},),0)</f>
        <v>218</v>
      </c>
      <c r="AW72"/>
      <c r="AX72" s="356"/>
      <c r="AY72"/>
      <c r="BA72" s="169">
        <f>ROUND(TREND(BA$46:BA$70,,{27,28,29,30,31,32,33},),0)</f>
        <v>2216</v>
      </c>
      <c r="BB72" s="171">
        <f>ROUND(TREND(BB$54:BB$70,,{19,20,21,22,23,24,25},),0)</f>
        <v>67796599</v>
      </c>
      <c r="BC72" s="171"/>
      <c r="BD72" s="171"/>
      <c r="BE72" s="171">
        <f>ROUND(TREND(BE$52:BE$70,,{21,22,23,24,25,26,27},),0)</f>
        <v>909</v>
      </c>
      <c r="BF72" s="171">
        <f>ROUND(TREND(BF$52:BF$70,,{21,22,23,24,25,26,27},),0)</f>
        <v>45</v>
      </c>
      <c r="BG72" s="171">
        <f>ROUND(TREND(BG$52:BG$70,,{21,22,23,24,25,26,27},),0)</f>
        <v>21</v>
      </c>
      <c r="BH72" s="171"/>
      <c r="BI72" s="171">
        <f>ROUND(TREND(BI$54:BI$70,,{19,20,21,22,23,24,25},),0)</f>
        <v>4189156</v>
      </c>
      <c r="BJ72" s="171"/>
      <c r="BK72" s="171"/>
      <c r="BL72" s="171">
        <f>ROUND(TREND(BL$60:BL$70,,{13,14,15,16,17,18,19},),0)</f>
        <v>-12</v>
      </c>
      <c r="BM72" s="170"/>
      <c r="BO72" s="169"/>
      <c r="BP72" s="170">
        <f>ROUND(TREND(BP$53:BP$70,,{20,21,22,23,24,25,26},),0)</f>
        <v>168</v>
      </c>
      <c r="BR72" s="246"/>
      <c r="BS72" s="166"/>
      <c r="BT72" s="247"/>
      <c r="BV72" s="169">
        <f>ROUND(TREND(BV$60:BV$70,,{13,14,15,16,17,18,19},),0)</f>
        <v>51</v>
      </c>
      <c r="BW72" s="171">
        <f>ROUND(TREND(BW$60:BW$70,,{13,14,15,16,17,18,19},),0)</f>
        <v>36</v>
      </c>
      <c r="BX72" s="171">
        <f>ROUND(TREND(BX$60:BX$70,,{13,14,15,16,17,18,19},),0)</f>
        <v>48</v>
      </c>
      <c r="BY72" s="171">
        <f>ROUND(TREND(BY$60:BY$70,,{13,14,15,16,17,18,19},),0)</f>
        <v>2</v>
      </c>
      <c r="BZ72" s="171">
        <f>ROUND(TREND(BZ$60:BZ$70,,{13,14,15,16,17,18,19},),0)</f>
        <v>2</v>
      </c>
      <c r="CA72" s="171">
        <f>ROUND(TREND(CA$60:CA$70,,{13,14,15,16,17,18,19},),0)</f>
        <v>13</v>
      </c>
      <c r="CB72" s="171">
        <f>ROUND(TREND(CB$60:CB$70,,{13,14,15,16,17,18,19},),0)</f>
        <v>3</v>
      </c>
      <c r="CC72" s="171"/>
      <c r="CD72" s="171">
        <f>ROUND(TREND(CD$60:CD$70,,{13,14,15,16,17,18,19},),0)</f>
        <v>133</v>
      </c>
      <c r="CE72" s="171">
        <f>ROUND(TREND(CE$60:CE$70,,{13,14,15,16,17,18,19},),0)</f>
        <v>34</v>
      </c>
      <c r="CF72" s="171">
        <f>ROUND(TREND(CF$60:CF$70,,{13,14,15,16,17,18,19},),0)</f>
        <v>-10</v>
      </c>
      <c r="CG72" s="171">
        <f>ROUND(TREND(CG$60:CG$70,,{13,14,15,16,17,18,19},),0)</f>
        <v>29</v>
      </c>
      <c r="CH72" s="171">
        <f>ROUND(TREND(CH$60:CH$70,,{13,14,15,16,17,18,19},),0)</f>
        <v>8</v>
      </c>
      <c r="CI72" s="171">
        <f>ROUND(TREND(CI$60:CI$70,,{13,14,15,16,17,18,19},),0)</f>
        <v>108</v>
      </c>
      <c r="CJ72" s="171">
        <f>ROUND(TREND(CJ$60:CJ$70,,{13,14,15,16,17,18,19},),0)</f>
        <v>107</v>
      </c>
      <c r="CK72" s="171"/>
      <c r="CL72" s="171">
        <f>ROUND(TREND(CL$60:CL$70,,{13,14,15,16,17,18,19},),0)</f>
        <v>4</v>
      </c>
      <c r="CM72" s="171">
        <f>ROUND(TREND(CM$60:CM$70,,{13,14,15,16,17,18,19},),0)</f>
        <v>6</v>
      </c>
      <c r="CN72" s="171">
        <f>ROUND(TREND(CN$60:CN$70,,{13,14,15,16,17,18,19},),0)</f>
        <v>15</v>
      </c>
      <c r="CO72" s="171">
        <f>ROUND(TREND(CO$60:CO$70,,{13,14,15,16,17,18,19},),0)</f>
        <v>202</v>
      </c>
      <c r="CP72" s="171">
        <f>ROUND(TREND(CP$60:CP$70,,{13,14,15,16,17,18,19},),0)</f>
        <v>0</v>
      </c>
      <c r="CQ72" s="171">
        <f>ROUND(TREND(CQ$60:CQ$70,,{13,14,15,16,17,18,19},),0)</f>
        <v>3</v>
      </c>
      <c r="CR72" s="171"/>
      <c r="CS72" s="171">
        <f>ROUND(TREND(CS$60:CS$70,,{13,14,15,16,17,18,19},),0)</f>
        <v>25</v>
      </c>
      <c r="CT72" s="171">
        <f>ROUND(TREND(CT$60:CT$70,,{13,14,15,16,17,18,19},),0)</f>
        <v>57</v>
      </c>
      <c r="CU72" s="171">
        <f>ROUND(TREND(CU$60:CU$70,,{13,14,15,16,17,18,19},),0)</f>
        <v>0</v>
      </c>
      <c r="CV72" s="171">
        <f>ROUND(TREND(CV$60:CV$70,,{13,14,15,16,17,18,19},),0)</f>
        <v>67</v>
      </c>
      <c r="CW72" s="171">
        <f>ROUND(TREND(CW$60:CW$70,,{13,14,15,16,17,18,19},),0)</f>
        <v>3</v>
      </c>
      <c r="CX72" s="171">
        <f>ROUND(TREND(CX$60:CX$70,,{13,14,15,16,17,18,19},),0)</f>
        <v>4</v>
      </c>
      <c r="CY72" s="171">
        <f>ROUND(TREND(CY$60:CY$70,,{13,14,15,16,17,18,19},),0)</f>
        <v>27</v>
      </c>
      <c r="CZ72" s="171">
        <f>ROUND(TREND(CZ$60:CZ$70,,{13,14,15,16,17,18,19},),0)</f>
        <v>3</v>
      </c>
      <c r="DA72" s="171">
        <f>ROUND(TREND(DA$60:DA$70,,{13,14,15,16,17,18,19},),0)</f>
        <v>7</v>
      </c>
      <c r="DB72" s="171">
        <f>ROUND(TREND(DB$60:DB$70,,{13,14,15,16,17,18,19},),0)</f>
        <v>127</v>
      </c>
      <c r="DC72" s="171">
        <f>ROUND(TREND(DC$60:DC$70,,{13,14,15,16,17,18,19},),0)</f>
        <v>21</v>
      </c>
      <c r="DD72" s="171">
        <f>ROUND(TREND(DD$60:DD$70,,{13,14,15,16,17,18,19},),0)</f>
        <v>2</v>
      </c>
      <c r="DE72" s="171">
        <f>ROUND(TREND(DE$60:DE$70,,{13,14,15,16,17,18,19},),0)</f>
        <v>1</v>
      </c>
      <c r="DF72" s="171">
        <f>ROUND(TREND(DF$60:DF$70,,{13,14,15,16,17,18,19},),0)</f>
        <v>1</v>
      </c>
      <c r="DG72" s="171">
        <f>ROUND(TREND(DG$60:DG$70,,{13,14,15,16,17,18,19},),0)</f>
        <v>60</v>
      </c>
      <c r="DH72" s="171">
        <f>ROUND(TREND(DH$60:DH$70,,{13,14,15,16,17,18,19},),0)</f>
        <v>17</v>
      </c>
      <c r="DI72" s="171">
        <f>ROUND(TREND(DI$60:DI$70,,{13,14,15,16,17,18,19},),0)</f>
        <v>14</v>
      </c>
      <c r="DJ72" s="171">
        <f>ROUND(TREND(DJ$60:DJ$70,,{13,14,15,16,17,18,19},),0)</f>
        <v>10</v>
      </c>
      <c r="DK72" s="171">
        <f>ROUND(TREND(DK$60:DK$70,,{13,14,15,16,17,18,19},),0)</f>
        <v>2</v>
      </c>
      <c r="DL72" s="171">
        <f>ROUND(TREND(DL$60:DL$70,,{13,14,15,16,17,18,19},),0)</f>
        <v>3</v>
      </c>
      <c r="DM72" s="171">
        <f>ROUND(TREND(DM$60:DM$70,,{13,14,15,16,17,18,19},),0)</f>
        <v>61</v>
      </c>
      <c r="DN72" s="171">
        <f>ROUND(TREND(DN$60:DN$70,,{13,14,15,16,17,18,19},),0)</f>
        <v>8</v>
      </c>
      <c r="DO72" s="171">
        <f>ROUND(TREND(DO$60:DO$70,,{13,14,15,16,17,18,19},),0)</f>
        <v>43</v>
      </c>
      <c r="DP72" s="171">
        <f>ROUND(TREND(DP$60:DP$70,,{13,14,15,16,17,18,19},),0)</f>
        <v>3</v>
      </c>
      <c r="DQ72" s="171">
        <f>ROUND(TREND(DQ$60:DQ$70,,{13,14,15,16,17,18,19},),0)</f>
        <v>0</v>
      </c>
      <c r="DR72" s="171"/>
      <c r="DS72" s="171">
        <f>ROUND(TREND(DS$60:DS$70,,{13,14,15,16,17,18,19},),0)</f>
        <v>40</v>
      </c>
      <c r="DT72" s="171">
        <f>ROUND(TREND(DT$60:DT$70,,{13,14,15,16,17,18,19},),0)</f>
        <v>-22</v>
      </c>
      <c r="DU72" s="171">
        <f>ROUND(TREND(DU$60:DU$70,,{13,14,15,16,17,18,19},),0)</f>
        <v>-12</v>
      </c>
      <c r="DV72" s="127">
        <f t="shared" si="113"/>
        <v>1366</v>
      </c>
      <c r="DW72" s="128"/>
    </row>
    <row r="73" spans="1:127" s="111" customFormat="1">
      <c r="A73" s="229">
        <v>2015</v>
      </c>
      <c r="B73" s="230"/>
      <c r="C73" s="169">
        <f>ROUND(TREND(C$46:C$70,,{28,29,30,31,32,33},),0)</f>
        <v>30</v>
      </c>
      <c r="D73" s="171">
        <f>ROUND(TREND(D$46:D$70,,{28,29,30,31,32,33},),0)</f>
        <v>447</v>
      </c>
      <c r="E73" s="171">
        <f>ROUND(TREND(E$46:E$70,,{28,29,30,31,32,33},),0)</f>
        <v>13</v>
      </c>
      <c r="F73" s="171">
        <f>ROUND(TREND(F$46:F$70,,{28,29,30,31,32,33},),0)</f>
        <v>9</v>
      </c>
      <c r="G73" s="171">
        <f>ROUND(TREND(G$46:G$70,,{28,29,30,31,32,33},),0)</f>
        <v>15</v>
      </c>
      <c r="H73" s="171">
        <f>ROUND(TREND(H$46:H$70,,{28,29,30,31,32,33},),0)</f>
        <v>8</v>
      </c>
      <c r="I73" s="171">
        <f>ROUND(TREND(I$46:I$70,,{28,29,30,31,32,33},),0)</f>
        <v>0</v>
      </c>
      <c r="J73" s="171">
        <f>ROUND(TREND(J$46:J$70,,{28,29,30,31,32,33},),0)</f>
        <v>497</v>
      </c>
      <c r="K73" s="171">
        <f>ROUND(TREND(K$46:K$70,,{28,29,30,31,32,33},),0)</f>
        <v>21</v>
      </c>
      <c r="L73" s="171">
        <f>ROUND(TREND(L$46:L$70,,{28,29,30,31,32,33},),0)</f>
        <v>6</v>
      </c>
      <c r="M73" s="171">
        <f>ROUND(TREND(M$46:M$70,,{28,29,30,31,32,33},),0)</f>
        <v>1</v>
      </c>
      <c r="N73" s="171">
        <f>ROUND(TREND(N$46:N$70,,{28,29,30,31,32,33},),0)</f>
        <v>0</v>
      </c>
      <c r="O73" s="171">
        <f>ROUND(TREND(O$46:O$70,,{28,29,30,31,32,33},),0)</f>
        <v>150</v>
      </c>
      <c r="P73" s="171">
        <f>ROUND(TREND(P$46:P$70,,{28,29,30,31,32,33},),0)</f>
        <v>38</v>
      </c>
      <c r="Q73" s="171">
        <f>ROUND(TREND(Q$46:Q$70,,{28,29,30,31,32,33},),0)</f>
        <v>5</v>
      </c>
      <c r="R73" s="170">
        <f>ROUND(TREND(R$46:R$70,,{28,29,30,31,32,33},),0)</f>
        <v>6</v>
      </c>
      <c r="S73" s="120">
        <f t="shared" ref="S73:S78" si="209">SUM(C73:R73)</f>
        <v>1246</v>
      </c>
      <c r="T73" s="169">
        <f>ROUND(TREND(T$52:T$70,,{22,23,24,25,26,27},),0)</f>
        <v>-66</v>
      </c>
      <c r="U73" s="171">
        <f>ROUND(TREND(U$56:U$70,,{18,19,20,21,22,23},),0)</f>
        <v>423</v>
      </c>
      <c r="V73" s="171">
        <f>ROUND(TREND(V$66:V$70,,{8,9,10,11,12,13},),0)</f>
        <v>79</v>
      </c>
      <c r="W73" s="171">
        <f>ROUND(TREND(W$46:W$70,,{28,29,30,31,32,33},),0)</f>
        <v>-1</v>
      </c>
      <c r="X73" s="170">
        <f>ROUND(TREND(X$46:X$70,,{28,29,30,31,32,33},),0)</f>
        <v>6</v>
      </c>
      <c r="Z73" s="169">
        <f>ROUND(TREND(Z$53:Z$70,,{21,22,23,24,25,26},),0)</f>
        <v>38486173</v>
      </c>
      <c r="AA73" s="171"/>
      <c r="AB73" s="171"/>
      <c r="AC73" s="169">
        <f>ROUND(TREND(AC$54:AC$70,,{20,21,22,23,24,25},),0)</f>
        <v>25799325</v>
      </c>
      <c r="AD73" s="170"/>
      <c r="AE73" s="120">
        <f>SUM(AC73:AD73)</f>
        <v>25799325</v>
      </c>
      <c r="AG73" s="169">
        <f>ROUND(TREND(AG$46:AG$70,,{28,29,30,31,32,33},),0)</f>
        <v>1883</v>
      </c>
      <c r="AH73" s="171">
        <f>ROUND(TREND(AH$46:AH$70,,{28,29,30,31,32,33},),0)</f>
        <v>1534</v>
      </c>
      <c r="AI73" s="171">
        <f>ROUND(TREND(AI$46:AI$70,,{28,29,30,31,32,33},),0)</f>
        <v>3364</v>
      </c>
      <c r="AJ73" s="170"/>
      <c r="AL73" s="169"/>
      <c r="AM73" s="171"/>
      <c r="AN73" s="120">
        <f>ROUND(SUM(AL73:AM73),0)</f>
        <v>0</v>
      </c>
      <c r="AO73" s="171"/>
      <c r="AP73" s="171"/>
      <c r="AQ73" s="120"/>
      <c r="AR73" s="171">
        <f>ROUND(TREND(AR$60:AR$66,,{14,15,16,17,18},),0)</f>
        <v>117</v>
      </c>
      <c r="AS73" s="171">
        <f>ROUND(TREND(AS$60:AS$66,,{14,15,16,17,18},),0)</f>
        <v>70</v>
      </c>
      <c r="AT73" s="171">
        <f>ROUND(TREND(AT$60:AT$66,,{14,15,16,17,18},),0)</f>
        <v>68</v>
      </c>
      <c r="AU73" s="171">
        <f>ROUND(TREND(AU$60:AU$66,,{14,15,16,17,18},),0)</f>
        <v>8</v>
      </c>
      <c r="AV73" s="170">
        <f>ROUND(TREND(AV$60:AV$66,,{14,15,16,17,18},),0)</f>
        <v>221</v>
      </c>
      <c r="AW73"/>
      <c r="AX73" s="356"/>
      <c r="AY73"/>
      <c r="BA73" s="169">
        <f>ROUND(TREND(BA$46:BA$70,,{28,29,30,31,32,33},),0)</f>
        <v>2261</v>
      </c>
      <c r="BB73" s="171">
        <f>ROUND(TREND(BB$54:BB$70,,{20,21,22,23,24,25},),0)</f>
        <v>70514191</v>
      </c>
      <c r="BC73" s="171"/>
      <c r="BD73" s="171"/>
      <c r="BE73" s="171">
        <f>ROUND(TREND(BE$52:BE$70,,{22,23,24,25,26,27},),0)</f>
        <v>913</v>
      </c>
      <c r="BF73" s="171">
        <f>ROUND(TREND(BF$52:BF$70,,{22,23,24,25,26,27},),0)</f>
        <v>43</v>
      </c>
      <c r="BG73" s="171">
        <f>ROUND(TREND(BG$52:BG$70,,{22,23,24,25,26,27},),0)</f>
        <v>20</v>
      </c>
      <c r="BH73" s="171"/>
      <c r="BI73" s="171">
        <f>ROUND(TREND(BI$54:BI$70,,{20,21,22,23,24,25},),0)</f>
        <v>4345222</v>
      </c>
      <c r="BJ73" s="171"/>
      <c r="BK73" s="171"/>
      <c r="BL73" s="171">
        <f>ROUND(TREND(BL$60:BL$70,,{14,15,16,17,18,19},),0)</f>
        <v>-19</v>
      </c>
      <c r="BM73" s="170"/>
      <c r="BO73" s="169"/>
      <c r="BP73" s="170">
        <f>ROUND(TREND(BP$53:BP$70,,{21,22,23,24,25,26},),0)</f>
        <v>169</v>
      </c>
      <c r="BR73" s="246"/>
      <c r="BS73" s="166"/>
      <c r="BT73" s="247"/>
      <c r="BV73" s="169">
        <f>ROUND(TREND(BV$60:BV$70,,{14,15,16,17,18,19},),0)</f>
        <v>52</v>
      </c>
      <c r="BW73" s="171">
        <f>ROUND(TREND(BW$60:BW$70,,{14,15,16,17,18,19},),0)</f>
        <v>36</v>
      </c>
      <c r="BX73" s="171">
        <f>ROUND(TREND(BX$60:BX$70,,{14,15,16,17,18,19},),0)</f>
        <v>50</v>
      </c>
      <c r="BY73" s="171">
        <f>ROUND(TREND(BY$60:BY$70,,{14,15,16,17,18,19},),0)</f>
        <v>2</v>
      </c>
      <c r="BZ73" s="171">
        <f>ROUND(TREND(BZ$60:BZ$70,,{14,15,16,17,18,19},),0)</f>
        <v>2</v>
      </c>
      <c r="CA73" s="171">
        <f>ROUND(TREND(CA$60:CA$70,,{14,15,16,17,18,19},),0)</f>
        <v>14</v>
      </c>
      <c r="CB73" s="171">
        <f>ROUND(TREND(CB$60:CB$70,,{14,15,16,17,18,19},),0)</f>
        <v>3</v>
      </c>
      <c r="CC73" s="171"/>
      <c r="CD73" s="171">
        <f>ROUND(TREND(CD$60:CD$70,,{14,15,16,17,18,19},),0)</f>
        <v>137</v>
      </c>
      <c r="CE73" s="171">
        <f>ROUND(TREND(CE$60:CE$70,,{14,15,16,17,18,19},),0)</f>
        <v>37</v>
      </c>
      <c r="CF73" s="171">
        <f>ROUND(TREND(CF$60:CF$70,,{14,15,16,17,18,19},),0)</f>
        <v>-13</v>
      </c>
      <c r="CG73" s="171">
        <f>ROUND(TREND(CG$60:CG$70,,{14,15,16,17,18,19},),0)</f>
        <v>31</v>
      </c>
      <c r="CH73" s="171">
        <f>ROUND(TREND(CH$60:CH$70,,{14,15,16,17,18,19},),0)</f>
        <v>9</v>
      </c>
      <c r="CI73" s="171">
        <f>ROUND(TREND(CI$60:CI$70,,{14,15,16,17,18,19},),0)</f>
        <v>113</v>
      </c>
      <c r="CJ73" s="171">
        <f>ROUND(TREND(CJ$60:CJ$70,,{14,15,16,17,18,19},),0)</f>
        <v>105</v>
      </c>
      <c r="CK73" s="171"/>
      <c r="CL73" s="171">
        <f>ROUND(TREND(CL$60:CL$70,,{14,15,16,17,18,19},),0)</f>
        <v>4</v>
      </c>
      <c r="CM73" s="171">
        <f>ROUND(TREND(CM$60:CM$70,,{14,15,16,17,18,19},),0)</f>
        <v>6</v>
      </c>
      <c r="CN73" s="171">
        <f>ROUND(TREND(CN$60:CN$70,,{14,15,16,17,18,19},),0)</f>
        <v>17</v>
      </c>
      <c r="CO73" s="171">
        <f>ROUND(TREND(CO$60:CO$70,,{14,15,16,17,18,19},),0)</f>
        <v>213</v>
      </c>
      <c r="CP73" s="171">
        <f>ROUND(TREND(CP$60:CP$70,,{14,15,16,17,18,19},),0)</f>
        <v>0</v>
      </c>
      <c r="CQ73" s="171">
        <f>ROUND(TREND(CQ$60:CQ$70,,{14,15,16,17,18,19},),0)</f>
        <v>3</v>
      </c>
      <c r="CR73" s="171"/>
      <c r="CS73" s="171">
        <f>ROUND(TREND(CS$60:CS$70,,{14,15,16,17,18,19},),0)</f>
        <v>25</v>
      </c>
      <c r="CT73" s="171">
        <f>ROUND(TREND(CT$60:CT$70,,{14,15,16,17,18,19},),0)</f>
        <v>55</v>
      </c>
      <c r="CU73" s="171">
        <f>ROUND(TREND(CU$60:CU$70,,{14,15,16,17,18,19},),0)</f>
        <v>0</v>
      </c>
      <c r="CV73" s="171">
        <f>ROUND(TREND(CV$60:CV$70,,{14,15,16,17,18,19},),0)</f>
        <v>68</v>
      </c>
      <c r="CW73" s="171">
        <f>ROUND(TREND(CW$60:CW$70,,{14,15,16,17,18,19},),0)</f>
        <v>3</v>
      </c>
      <c r="CX73" s="171">
        <f>ROUND(TREND(CX$60:CX$70,,{14,15,16,17,18,19},),0)</f>
        <v>5</v>
      </c>
      <c r="CY73" s="171">
        <f>ROUND(TREND(CY$60:CY$70,,{14,15,16,17,18,19},),0)</f>
        <v>27</v>
      </c>
      <c r="CZ73" s="171">
        <f>ROUND(TREND(CZ$60:CZ$70,,{14,15,16,17,18,19},),0)</f>
        <v>3</v>
      </c>
      <c r="DA73" s="171">
        <f>ROUND(TREND(DA$60:DA$70,,{14,15,16,17,18,19},),0)</f>
        <v>7</v>
      </c>
      <c r="DB73" s="171">
        <f>ROUND(TREND(DB$60:DB$70,,{14,15,16,17,18,19},),0)</f>
        <v>129</v>
      </c>
      <c r="DC73" s="171">
        <f>ROUND(TREND(DC$60:DC$70,,{14,15,16,17,18,19},),0)</f>
        <v>23</v>
      </c>
      <c r="DD73" s="171">
        <f>ROUND(TREND(DD$60:DD$70,,{14,15,16,17,18,19},),0)</f>
        <v>2</v>
      </c>
      <c r="DE73" s="171">
        <f>ROUND(TREND(DE$60:DE$70,,{14,15,16,17,18,19},),0)</f>
        <v>1</v>
      </c>
      <c r="DF73" s="171">
        <f>ROUND(TREND(DF$60:DF$70,,{14,15,16,17,18,19},),0)</f>
        <v>2</v>
      </c>
      <c r="DG73" s="171">
        <f>ROUND(TREND(DG$60:DG$70,,{14,15,16,17,18,19},),0)</f>
        <v>62</v>
      </c>
      <c r="DH73" s="171">
        <f>ROUND(TREND(DH$60:DH$70,,{14,15,16,17,18,19},),0)</f>
        <v>17</v>
      </c>
      <c r="DI73" s="171">
        <f>ROUND(TREND(DI$60:DI$70,,{14,15,16,17,18,19},),0)</f>
        <v>13</v>
      </c>
      <c r="DJ73" s="171">
        <f>ROUND(TREND(DJ$60:DJ$70,,{14,15,16,17,18,19},),0)</f>
        <v>10</v>
      </c>
      <c r="DK73" s="171">
        <f>ROUND(TREND(DK$60:DK$70,,{14,15,16,17,18,19},),0)</f>
        <v>2</v>
      </c>
      <c r="DL73" s="171">
        <f>ROUND(TREND(DL$60:DL$70,,{14,15,16,17,18,19},),0)</f>
        <v>3</v>
      </c>
      <c r="DM73" s="171">
        <f>ROUND(TREND(DM$60:DM$70,,{14,15,16,17,18,19},),0)</f>
        <v>63</v>
      </c>
      <c r="DN73" s="171">
        <f>ROUND(TREND(DN$60:DN$70,,{14,15,16,17,18,19},),0)</f>
        <v>9</v>
      </c>
      <c r="DO73" s="171">
        <f>ROUND(TREND(DO$60:DO$70,,{14,15,16,17,18,19},),0)</f>
        <v>44</v>
      </c>
      <c r="DP73" s="171">
        <f>ROUND(TREND(DP$60:DP$70,,{14,15,16,17,18,19},),0)</f>
        <v>3</v>
      </c>
      <c r="DQ73" s="171">
        <f>ROUND(TREND(DQ$60:DQ$70,,{14,15,16,17,18,19},),0)</f>
        <v>0</v>
      </c>
      <c r="DR73" s="171"/>
      <c r="DS73" s="171">
        <f>ROUND(TREND(DS$60:DS$70,,{14,15,16,17,18,19},),0)</f>
        <v>39</v>
      </c>
      <c r="DT73" s="171">
        <f>ROUND(TREND(DT$60:DT$70,,{14,15,16,17,18,19},),0)</f>
        <v>-28</v>
      </c>
      <c r="DU73" s="171">
        <f>ROUND(TREND(DU$60:DU$70,,{14,15,16,17,18,19},),0)</f>
        <v>-14</v>
      </c>
      <c r="DV73" s="127">
        <f t="shared" ref="DV73:DV78" si="210">SUM(BV73:DU73)</f>
        <v>1394</v>
      </c>
      <c r="DW73" s="128"/>
    </row>
    <row r="74" spans="1:127" s="111" customFormat="1">
      <c r="A74" s="229">
        <v>2016</v>
      </c>
      <c r="B74" s="230"/>
      <c r="C74" s="169">
        <f>ROUND(TREND(C$46:C$70,,{29,30,31,32,33},),0)</f>
        <v>27</v>
      </c>
      <c r="D74" s="171">
        <f>ROUND(TREND(D$46:D$70,,{29,30,31,32,33},),0)</f>
        <v>448</v>
      </c>
      <c r="E74" s="171">
        <f>ROUND(TREND(E$46:E$70,,{29,30,31,32,33},),0)</f>
        <v>11</v>
      </c>
      <c r="F74" s="171">
        <f>ROUND(TREND(F$46:F$70,,{29,30,31,32,33},),0)</f>
        <v>9</v>
      </c>
      <c r="G74" s="171">
        <f>ROUND(TREND(G$46:G$70,,{29,30,31,32,33},),0)</f>
        <v>13</v>
      </c>
      <c r="H74" s="171">
        <f>ROUND(TREND(H$46:H$70,,{29,30,31,32,33},),0)</f>
        <v>7</v>
      </c>
      <c r="I74" s="171">
        <f>ROUND(TREND(I$46:I$70,,{29,30,31,32,33},),0)</f>
        <v>0</v>
      </c>
      <c r="J74" s="171">
        <f>ROUND(TREND(J$46:J$70,,{29,30,31,32,33},),0)</f>
        <v>514</v>
      </c>
      <c r="K74" s="171">
        <f>ROUND(TREND(K$46:K$70,,{29,30,31,32,33},),0)</f>
        <v>22</v>
      </c>
      <c r="L74" s="171">
        <f>ROUND(TREND(L$46:L$70,,{29,30,31,32,33},),0)</f>
        <v>6</v>
      </c>
      <c r="M74" s="171">
        <f>ROUND(TREND(M$46:M$70,,{29,30,31,32,33},),0)</f>
        <v>1</v>
      </c>
      <c r="N74" s="171">
        <f>ROUND(TREND(N$46:N$70,,{29,30,31,32,33},),0)</f>
        <v>0</v>
      </c>
      <c r="O74" s="171">
        <f>ROUND(TREND(O$46:O$70,,{29,30,31,32,33},),0)</f>
        <v>144</v>
      </c>
      <c r="P74" s="171">
        <f>ROUND(TREND(P$46:P$70,,{29,30,31,32,33},),0)</f>
        <v>39</v>
      </c>
      <c r="Q74" s="171">
        <f>ROUND(TREND(Q$46:Q$70,,{29,30,31,32,33},),0)</f>
        <v>5</v>
      </c>
      <c r="R74" s="170">
        <f>ROUND(TREND(R$46:R$70,,{29,30,31,32,33},),0)</f>
        <v>6</v>
      </c>
      <c r="S74" s="120">
        <f t="shared" si="209"/>
        <v>1252</v>
      </c>
      <c r="T74" s="169">
        <f>ROUND(TREND(T$52:T$70,,{23,24,25,26,27},),0)</f>
        <v>-75</v>
      </c>
      <c r="U74" s="171">
        <f>ROUND(TREND(U$56:U$70,,{19,20,21,22,23},),0)</f>
        <v>433</v>
      </c>
      <c r="V74" s="171">
        <f>ROUND(TREND(V$66:V$70,,{9,10,11,12,13},),0)</f>
        <v>35</v>
      </c>
      <c r="W74" s="171">
        <f>ROUND(TREND(W$46:W$70,,{29,30,31,32,33},),0)</f>
        <v>-2</v>
      </c>
      <c r="X74" s="170">
        <f>ROUND(TREND(X$46:X$70,,{29,30,31,32,33},),0)</f>
        <v>6</v>
      </c>
      <c r="Z74" s="169">
        <f>ROUND(TREND(Z$53:Z$70,,{22,23,24,25,26},),0)</f>
        <v>38946172</v>
      </c>
      <c r="AA74" s="171"/>
      <c r="AB74" s="171"/>
      <c r="AC74" s="169">
        <f>ROUND(TREND(AC$54:AC$70,,{21,22,23,24,25},),0)</f>
        <v>26407480</v>
      </c>
      <c r="AD74" s="170"/>
      <c r="AE74" s="120">
        <f>SUM(AC74:AD74)</f>
        <v>26407480</v>
      </c>
      <c r="AG74" s="169">
        <f>ROUND(TREND(AG$46:AG$70,,{29,30,31,32,33},),0)</f>
        <v>1883</v>
      </c>
      <c r="AH74" s="171">
        <f>ROUND(TREND(AH$46:AH$70,,{29,30,31,32,33},),0)</f>
        <v>1580</v>
      </c>
      <c r="AI74" s="171">
        <f>ROUND(TREND(AI$46:AI$70,,{29,30,31,32,33},),0)</f>
        <v>3369</v>
      </c>
      <c r="AJ74" s="170"/>
      <c r="AL74" s="169"/>
      <c r="AM74" s="171"/>
      <c r="AN74" s="120">
        <f>ROUND(SUM(AL74:AM74),0)</f>
        <v>0</v>
      </c>
      <c r="AO74" s="171"/>
      <c r="AP74" s="171"/>
      <c r="AQ74" s="120"/>
      <c r="AR74" s="171">
        <f>ROUND(TREND(AR$60:AR$66,,{15,16,17,18},),0)</f>
        <v>114</v>
      </c>
      <c r="AS74" s="171">
        <f>ROUND(TREND(AS$60:AS$66,,{15,16,17,18},),0)</f>
        <v>73</v>
      </c>
      <c r="AT74" s="171">
        <f>ROUND(TREND(AT$60:AT$66,,{15,16,17,18},),0)</f>
        <v>64</v>
      </c>
      <c r="AU74" s="171">
        <f>ROUND(TREND(AU$60:AU$66,,{15,16,17,18},),0)</f>
        <v>7</v>
      </c>
      <c r="AV74" s="170">
        <f>ROUND(TREND(AV$60:AV$66,,{15,16,17,18},),0)</f>
        <v>224</v>
      </c>
      <c r="AW74"/>
      <c r="AX74" s="356"/>
      <c r="AY74"/>
      <c r="BA74" s="169">
        <f>ROUND(TREND(BA$46:BA$70,,{29,30,31,32,33},),0)</f>
        <v>2307</v>
      </c>
      <c r="BB74" s="171">
        <f>ROUND(TREND(BB$54:BB$70,,{21,22,23,24,25},),0)</f>
        <v>73231783</v>
      </c>
      <c r="BC74" s="171"/>
      <c r="BD74" s="171"/>
      <c r="BE74" s="171">
        <f>ROUND(TREND(BE$52:BE$70,,{23,24,25,26,27},),0)</f>
        <v>917</v>
      </c>
      <c r="BF74" s="171">
        <f>ROUND(TREND(BF$52:BF$70,,{23,24,25,26,27},),0)</f>
        <v>42</v>
      </c>
      <c r="BG74" s="171">
        <f>ROUND(TREND(BG$52:BG$70,,{23,24,25,26,27},),0)</f>
        <v>19</v>
      </c>
      <c r="BH74" s="171"/>
      <c r="BI74" s="171">
        <f>ROUND(TREND(BI$54:BI$70,,{21,22,23,24,25},),0)</f>
        <v>4501289</v>
      </c>
      <c r="BJ74" s="171"/>
      <c r="BK74" s="171"/>
      <c r="BL74" s="171">
        <f>ROUND(TREND(BL$60:BL$70,,{15,16,17,18,19},),0)</f>
        <v>-26</v>
      </c>
      <c r="BM74" s="170"/>
      <c r="BO74" s="169"/>
      <c r="BP74" s="170">
        <f>ROUND(TREND(BP$53:BP$70,,{22,23,24,25,26},),0)</f>
        <v>170</v>
      </c>
      <c r="BR74" s="246"/>
      <c r="BS74" s="166"/>
      <c r="BT74" s="247"/>
      <c r="BV74" s="169">
        <f>ROUND(TREND(BV$60:BV$70,,{15,16,17,18,19},),0)</f>
        <v>53</v>
      </c>
      <c r="BW74" s="171">
        <f>ROUND(TREND(BW$60:BW$70,,{15,16,17,18,19},),0)</f>
        <v>37</v>
      </c>
      <c r="BX74" s="171">
        <f>ROUND(TREND(BX$60:BX$70,,{15,16,17,18,19},),0)</f>
        <v>53</v>
      </c>
      <c r="BY74" s="171">
        <f>ROUND(TREND(BY$60:BY$70,,{15,16,17,18,19},),0)</f>
        <v>2</v>
      </c>
      <c r="BZ74" s="171">
        <f>ROUND(TREND(BZ$60:BZ$70,,{15,16,17,18,19},),0)</f>
        <v>2</v>
      </c>
      <c r="CA74" s="171">
        <f>ROUND(TREND(CA$60:CA$70,,{15,16,17,18,19},),0)</f>
        <v>16</v>
      </c>
      <c r="CB74" s="171">
        <f>ROUND(TREND(CB$60:CB$70,,{15,16,17,18,19},),0)</f>
        <v>3</v>
      </c>
      <c r="CC74" s="171"/>
      <c r="CD74" s="171">
        <f>ROUND(TREND(CD$60:CD$70,,{15,16,17,18,19},),0)</f>
        <v>141</v>
      </c>
      <c r="CE74" s="171">
        <f>ROUND(TREND(CE$60:CE$70,,{15,16,17,18,19},),0)</f>
        <v>40</v>
      </c>
      <c r="CF74" s="171">
        <f>ROUND(TREND(CF$60:CF$70,,{15,16,17,18,19},),0)</f>
        <v>-16</v>
      </c>
      <c r="CG74" s="171">
        <f>ROUND(TREND(CG$60:CG$70,,{15,16,17,18,19},),0)</f>
        <v>34</v>
      </c>
      <c r="CH74" s="171">
        <f>ROUND(TREND(CH$60:CH$70,,{15,16,17,18,19},),0)</f>
        <v>9</v>
      </c>
      <c r="CI74" s="171">
        <f>ROUND(TREND(CI$60:CI$70,,{15,16,17,18,19},),0)</f>
        <v>118</v>
      </c>
      <c r="CJ74" s="171">
        <f>ROUND(TREND(CJ$60:CJ$70,,{15,16,17,18,19},),0)</f>
        <v>104</v>
      </c>
      <c r="CK74" s="171"/>
      <c r="CL74" s="171">
        <f>ROUND(TREND(CL$60:CL$70,,{15,16,17,18,19},),0)</f>
        <v>4</v>
      </c>
      <c r="CM74" s="171">
        <f>ROUND(TREND(CM$60:CM$70,,{15,16,17,18,19},),0)</f>
        <v>5</v>
      </c>
      <c r="CN74" s="171">
        <f>ROUND(TREND(CN$60:CN$70,,{15,16,17,18,19},),0)</f>
        <v>18</v>
      </c>
      <c r="CO74" s="171">
        <f>ROUND(TREND(CO$60:CO$70,,{15,16,17,18,19},),0)</f>
        <v>223</v>
      </c>
      <c r="CP74" s="171">
        <f>ROUND(TREND(CP$60:CP$70,,{15,16,17,18,19},),0)</f>
        <v>0</v>
      </c>
      <c r="CQ74" s="171">
        <f>ROUND(TREND(CQ$60:CQ$70,,{15,16,17,18,19},),0)</f>
        <v>3</v>
      </c>
      <c r="CR74" s="171"/>
      <c r="CS74" s="171">
        <f>ROUND(TREND(CS$60:CS$70,,{15,16,17,18,19},),0)</f>
        <v>26</v>
      </c>
      <c r="CT74" s="171">
        <f>ROUND(TREND(CT$60:CT$70,,{15,16,17,18,19},),0)</f>
        <v>53</v>
      </c>
      <c r="CU74" s="171">
        <f>ROUND(TREND(CU$60:CU$70,,{15,16,17,18,19},),0)</f>
        <v>0</v>
      </c>
      <c r="CV74" s="171">
        <f>ROUND(TREND(CV$60:CV$70,,{15,16,17,18,19},),0)</f>
        <v>69</v>
      </c>
      <c r="CW74" s="171">
        <f>ROUND(TREND(CW$60:CW$70,,{15,16,17,18,19},),0)</f>
        <v>3</v>
      </c>
      <c r="CX74" s="171">
        <f>ROUND(TREND(CX$60:CX$70,,{15,16,17,18,19},),0)</f>
        <v>5</v>
      </c>
      <c r="CY74" s="171">
        <f>ROUND(TREND(CY$60:CY$70,,{15,16,17,18,19},),0)</f>
        <v>27</v>
      </c>
      <c r="CZ74" s="171">
        <f>ROUND(TREND(CZ$60:CZ$70,,{15,16,17,18,19},),0)</f>
        <v>3</v>
      </c>
      <c r="DA74" s="171">
        <f>ROUND(TREND(DA$60:DA$70,,{15,16,17,18,19},),0)</f>
        <v>8</v>
      </c>
      <c r="DB74" s="171">
        <f>ROUND(TREND(DB$60:DB$70,,{15,16,17,18,19},),0)</f>
        <v>131</v>
      </c>
      <c r="DC74" s="171">
        <f>ROUND(TREND(DC$60:DC$70,,{15,16,17,18,19},),0)</f>
        <v>25</v>
      </c>
      <c r="DD74" s="171">
        <f>ROUND(TREND(DD$60:DD$70,,{15,16,17,18,19},),0)</f>
        <v>2</v>
      </c>
      <c r="DE74" s="171">
        <f>ROUND(TREND(DE$60:DE$70,,{15,16,17,18,19},),0)</f>
        <v>1</v>
      </c>
      <c r="DF74" s="171">
        <f>ROUND(TREND(DF$60:DF$70,,{15,16,17,18,19},),0)</f>
        <v>2</v>
      </c>
      <c r="DG74" s="171">
        <f>ROUND(TREND(DG$60:DG$70,,{15,16,17,18,19},),0)</f>
        <v>64</v>
      </c>
      <c r="DH74" s="171">
        <f>ROUND(TREND(DH$60:DH$70,,{15,16,17,18,19},),0)</f>
        <v>18</v>
      </c>
      <c r="DI74" s="171">
        <f>ROUND(TREND(DI$60:DI$70,,{15,16,17,18,19},),0)</f>
        <v>13</v>
      </c>
      <c r="DJ74" s="171">
        <f>ROUND(TREND(DJ$60:DJ$70,,{15,16,17,18,19},),0)</f>
        <v>10</v>
      </c>
      <c r="DK74" s="171">
        <f>ROUND(TREND(DK$60:DK$70,,{15,16,17,18,19},),0)</f>
        <v>2</v>
      </c>
      <c r="DL74" s="171">
        <f>ROUND(TREND(DL$60:DL$70,,{15,16,17,18,19},),0)</f>
        <v>4</v>
      </c>
      <c r="DM74" s="171">
        <f>ROUND(TREND(DM$60:DM$70,,{15,16,17,18,19},),0)</f>
        <v>65</v>
      </c>
      <c r="DN74" s="171">
        <f>ROUND(TREND(DN$60:DN$70,,{15,16,17,18,19},),0)</f>
        <v>10</v>
      </c>
      <c r="DO74" s="171">
        <f>ROUND(TREND(DO$60:DO$70,,{15,16,17,18,19},),0)</f>
        <v>46</v>
      </c>
      <c r="DP74" s="171">
        <f>ROUND(TREND(DP$60:DP$70,,{15,16,17,18,19},),0)</f>
        <v>4</v>
      </c>
      <c r="DQ74" s="171">
        <f>ROUND(TREND(DQ$60:DQ$70,,{15,16,17,18,19},),0)</f>
        <v>0</v>
      </c>
      <c r="DR74" s="171"/>
      <c r="DS74" s="171">
        <f>ROUND(TREND(DS$60:DS$70,,{15,16,17,18,19},),0)</f>
        <v>39</v>
      </c>
      <c r="DT74" s="171">
        <f>ROUND(TREND(DT$60:DT$70,,{15,16,17,18,19},),0)</f>
        <v>-34</v>
      </c>
      <c r="DU74" s="171">
        <f>ROUND(TREND(DU$60:DU$70,,{15,16,17,18,19},),0)</f>
        <v>-17</v>
      </c>
      <c r="DV74" s="127">
        <f t="shared" si="210"/>
        <v>1428</v>
      </c>
      <c r="DW74" s="128"/>
    </row>
    <row r="75" spans="1:127" s="111" customFormat="1">
      <c r="A75" s="229">
        <v>2017</v>
      </c>
      <c r="B75" s="230"/>
      <c r="C75" s="169">
        <f>ROUND(TREND(C$46:C$70,,{30,31,32,33},),0)</f>
        <v>23</v>
      </c>
      <c r="D75" s="171">
        <f>ROUND(TREND(D$46:D$70,,{30,31,32,33},),0)</f>
        <v>449</v>
      </c>
      <c r="E75" s="171">
        <f>ROUND(TREND(E$46:E$70,,{30,31,32,33},),0)</f>
        <v>9</v>
      </c>
      <c r="F75" s="171">
        <f>ROUND(TREND(F$46:F$70,,{30,31,32,33},),0)</f>
        <v>8</v>
      </c>
      <c r="G75" s="171">
        <f>ROUND(TREND(G$46:G$70,,{30,31,32,33},),0)</f>
        <v>12</v>
      </c>
      <c r="H75" s="171">
        <f>ROUND(TREND(H$46:H$70,,{30,31,32,33},),0)</f>
        <v>6</v>
      </c>
      <c r="I75" s="171">
        <f>ROUND(TREND(I$46:I$70,,{30,31,32,33},),0)</f>
        <v>0</v>
      </c>
      <c r="J75" s="171">
        <f>ROUND(TREND(J$46:J$70,,{30,31,32,33},),0)</f>
        <v>530</v>
      </c>
      <c r="K75" s="171">
        <f>ROUND(TREND(K$46:K$70,,{30,31,32,33},),0)</f>
        <v>23</v>
      </c>
      <c r="L75" s="171">
        <f>ROUND(TREND(L$46:L$70,,{30,31,32,33},),0)</f>
        <v>6</v>
      </c>
      <c r="M75" s="171">
        <f>ROUND(TREND(M$46:M$70,,{30,31,32,33},),0)</f>
        <v>1</v>
      </c>
      <c r="N75" s="171">
        <f>ROUND(TREND(N$46:N$70,,{30,31,32,33},),0)</f>
        <v>0</v>
      </c>
      <c r="O75" s="171">
        <f>ROUND(TREND(O$46:O$70,,{30,31,32,33},),0)</f>
        <v>139</v>
      </c>
      <c r="P75" s="171">
        <f>ROUND(TREND(P$46:P$70,,{30,31,32,33},),0)</f>
        <v>41</v>
      </c>
      <c r="Q75" s="171">
        <f>ROUND(TREND(Q$46:Q$70,,{30,31,32,33},),0)</f>
        <v>6</v>
      </c>
      <c r="R75" s="170">
        <f>ROUND(TREND(R$46:R$70,,{30,31,32,33},),0)</f>
        <v>6</v>
      </c>
      <c r="S75" s="120">
        <f t="shared" si="209"/>
        <v>1259</v>
      </c>
      <c r="T75" s="169">
        <f>ROUND(TREND(T$52:T$70,,{24,25,26,27},),0)</f>
        <v>-84</v>
      </c>
      <c r="U75" s="171">
        <f>ROUND(TREND(U$56:U$70,,{20,21,22,23},),0)</f>
        <v>444</v>
      </c>
      <c r="V75" s="171">
        <f>ROUND(TREND(V$66:V$70,,{10,11,12,13},),0)</f>
        <v>-9</v>
      </c>
      <c r="W75" s="171">
        <f>ROUND(TREND(W$46:W$70,,{30,31,32,33},),0)</f>
        <v>-2</v>
      </c>
      <c r="X75" s="170">
        <f>ROUND(TREND(X$46:X$70,,{30,31,32,33},),0)</f>
        <v>6</v>
      </c>
      <c r="Z75" s="169">
        <f>ROUND(TREND(Z$53:Z$70,,{23,24,25,26},),0)</f>
        <v>39406172</v>
      </c>
      <c r="AA75" s="171"/>
      <c r="AB75" s="171"/>
      <c r="AC75" s="169">
        <f>ROUND(TREND(AC$54:AC$70,,{22,23,24,25},),0)</f>
        <v>27015635</v>
      </c>
      <c r="AD75" s="170"/>
      <c r="AE75" s="120">
        <f>SUM(AC75:AD75)</f>
        <v>27015635</v>
      </c>
      <c r="AG75" s="169">
        <f>ROUND(TREND(AG$46:AG$70,,{30,31,32,33},),0)</f>
        <v>1883</v>
      </c>
      <c r="AH75" s="171">
        <f>ROUND(TREND(AH$46:AH$70,,{30,31,32,33},),0)</f>
        <v>1626</v>
      </c>
      <c r="AI75" s="171">
        <f>ROUND(TREND(AI$46:AI$70,,{30,31,32,33},),0)</f>
        <v>3373</v>
      </c>
      <c r="AJ75" s="170"/>
      <c r="AL75" s="169"/>
      <c r="AM75" s="171"/>
      <c r="AN75" s="120">
        <f>ROUND(SUM(AL75:AM75),0)</f>
        <v>0</v>
      </c>
      <c r="AO75" s="171"/>
      <c r="AP75" s="171"/>
      <c r="AQ75" s="120"/>
      <c r="AR75" s="171">
        <f>ROUND(TREND(AR$60:AR$66,,{16,17,18},),0)</f>
        <v>111</v>
      </c>
      <c r="AS75" s="171">
        <f>ROUND(TREND(AS$60:AS$66,,{16,17,18},),0)</f>
        <v>75</v>
      </c>
      <c r="AT75" s="171">
        <f>ROUND(TREND(AT$60:AT$66,,{16,17,18},),0)</f>
        <v>60</v>
      </c>
      <c r="AU75" s="171">
        <f>ROUND(TREND(AU$60:AU$66,,{16,17,18},),0)</f>
        <v>5</v>
      </c>
      <c r="AV75" s="170">
        <f>ROUND(TREND(AV$60:AV$66,,{16,17,18},),0)</f>
        <v>226</v>
      </c>
      <c r="AW75"/>
      <c r="AX75" s="356"/>
      <c r="AY75"/>
      <c r="BA75" s="169">
        <f>ROUND(TREND(BA$46:BA$70,,{30,31,32,33},),0)</f>
        <v>2352</v>
      </c>
      <c r="BB75" s="171">
        <f>ROUND(TREND(BB$54:BB$70,,{22,23,24,25},),0)</f>
        <v>75949376</v>
      </c>
      <c r="BC75" s="171"/>
      <c r="BD75" s="171"/>
      <c r="BE75" s="171">
        <f>ROUND(TREND(BE$52:BE$70,,{24,25,26,27},),0)</f>
        <v>922</v>
      </c>
      <c r="BF75" s="171">
        <f>ROUND(TREND(BF$52:BF$70,,{24,25,26,27},),0)</f>
        <v>40</v>
      </c>
      <c r="BG75" s="171">
        <f>ROUND(TREND(BG$52:BG$70,,{24,25,26,27},),0)</f>
        <v>17</v>
      </c>
      <c r="BH75" s="171"/>
      <c r="BI75" s="171">
        <f>ROUND(TREND(BI$54:BI$70,,{22,23,24,25},),0)</f>
        <v>4657355</v>
      </c>
      <c r="BJ75" s="171"/>
      <c r="BK75" s="171"/>
      <c r="BL75" s="171">
        <f>ROUND(TREND(BL$60:BL$70,,{16,17,18,19},),0)</f>
        <v>-33</v>
      </c>
      <c r="BM75" s="170"/>
      <c r="BO75" s="169"/>
      <c r="BP75" s="170">
        <f>ROUND(TREND(BP$53:BP$70,,{23,24,25,26},),0)</f>
        <v>171</v>
      </c>
      <c r="BR75" s="246"/>
      <c r="BS75" s="166"/>
      <c r="BT75" s="247"/>
      <c r="BV75" s="169">
        <f>ROUND(TREND(BV$60:BV$70,,{16,17,18,19},),0)</f>
        <v>55</v>
      </c>
      <c r="BW75" s="171">
        <f>ROUND(TREND(BW$60:BW$70,,{16,17,18,19},),0)</f>
        <v>38</v>
      </c>
      <c r="BX75" s="171">
        <f>ROUND(TREND(BX$60:BX$70,,{16,17,18,19},),0)</f>
        <v>56</v>
      </c>
      <c r="BY75" s="171">
        <f>ROUND(TREND(BY$60:BY$70,,{16,17,18,19},),0)</f>
        <v>3</v>
      </c>
      <c r="BZ75" s="171">
        <f>ROUND(TREND(BZ$60:BZ$70,,{16,17,18,19},),0)</f>
        <v>2</v>
      </c>
      <c r="CA75" s="171">
        <f>ROUND(TREND(CA$60:CA$70,,{16,17,18,19},),0)</f>
        <v>17</v>
      </c>
      <c r="CB75" s="171">
        <f>ROUND(TREND(CB$60:CB$70,,{16,17,18,19},),0)</f>
        <v>4</v>
      </c>
      <c r="CC75" s="171"/>
      <c r="CD75" s="171">
        <f>ROUND(TREND(CD$60:CD$70,,{16,17,18,19},),0)</f>
        <v>144</v>
      </c>
      <c r="CE75" s="171">
        <f>ROUND(TREND(CE$60:CE$70,,{16,17,18,19},),0)</f>
        <v>43</v>
      </c>
      <c r="CF75" s="171">
        <f>ROUND(TREND(CF$60:CF$70,,{16,17,18,19},),0)</f>
        <v>-18</v>
      </c>
      <c r="CG75" s="171">
        <f>ROUND(TREND(CG$60:CG$70,,{16,17,18,19},),0)</f>
        <v>36</v>
      </c>
      <c r="CH75" s="171">
        <f>ROUND(TREND(CH$60:CH$70,,{16,17,18,19},),0)</f>
        <v>10</v>
      </c>
      <c r="CI75" s="171">
        <f>ROUND(TREND(CI$60:CI$70,,{16,17,18,19},),0)</f>
        <v>122</v>
      </c>
      <c r="CJ75" s="171">
        <f>ROUND(TREND(CJ$60:CJ$70,,{16,17,18,19},),0)</f>
        <v>103</v>
      </c>
      <c r="CK75" s="171"/>
      <c r="CL75" s="171">
        <f>ROUND(TREND(CL$60:CL$70,,{16,17,18,19},),0)</f>
        <v>5</v>
      </c>
      <c r="CM75" s="171">
        <f>ROUND(TREND(CM$60:CM$70,,{16,17,18,19},),0)</f>
        <v>5</v>
      </c>
      <c r="CN75" s="171">
        <f>ROUND(TREND(CN$60:CN$70,,{16,17,18,19},),0)</f>
        <v>20</v>
      </c>
      <c r="CO75" s="171">
        <f>ROUND(TREND(CO$60:CO$70,,{16,17,18,19},),0)</f>
        <v>233</v>
      </c>
      <c r="CP75" s="171">
        <f>ROUND(TREND(CP$60:CP$70,,{16,17,18,19},),0)</f>
        <v>0</v>
      </c>
      <c r="CQ75" s="171">
        <f>ROUND(TREND(CQ$60:CQ$70,,{16,17,18,19},),0)</f>
        <v>4</v>
      </c>
      <c r="CR75" s="171"/>
      <c r="CS75" s="171">
        <f>ROUND(TREND(CS$60:CS$70,,{16,17,18,19},),0)</f>
        <v>26</v>
      </c>
      <c r="CT75" s="171">
        <f>ROUND(TREND(CT$60:CT$70,,{16,17,18,19},),0)</f>
        <v>51</v>
      </c>
      <c r="CU75" s="171">
        <f>ROUND(TREND(CU$60:CU$70,,{16,17,18,19},),0)</f>
        <v>0</v>
      </c>
      <c r="CV75" s="171">
        <f>ROUND(TREND(CV$60:CV$70,,{16,17,18,19},),0)</f>
        <v>70</v>
      </c>
      <c r="CW75" s="171">
        <f>ROUND(TREND(CW$60:CW$70,,{16,17,18,19},),0)</f>
        <v>3</v>
      </c>
      <c r="CX75" s="171">
        <f>ROUND(TREND(CX$60:CX$70,,{16,17,18,19},),0)</f>
        <v>5</v>
      </c>
      <c r="CY75" s="171">
        <f>ROUND(TREND(CY$60:CY$70,,{16,17,18,19},),0)</f>
        <v>27</v>
      </c>
      <c r="CZ75" s="171">
        <f>ROUND(TREND(CZ$60:CZ$70,,{16,17,18,19},),0)</f>
        <v>3</v>
      </c>
      <c r="DA75" s="171">
        <f>ROUND(TREND(DA$60:DA$70,,{16,17,18,19},),0)</f>
        <v>9</v>
      </c>
      <c r="DB75" s="171">
        <f>ROUND(TREND(DB$60:DB$70,,{16,17,18,19},),0)</f>
        <v>133</v>
      </c>
      <c r="DC75" s="171">
        <f>ROUND(TREND(DC$60:DC$70,,{16,17,18,19},),0)</f>
        <v>27</v>
      </c>
      <c r="DD75" s="171">
        <f>ROUND(TREND(DD$60:DD$70,,{16,17,18,19},),0)</f>
        <v>2</v>
      </c>
      <c r="DE75" s="171">
        <f>ROUND(TREND(DE$60:DE$70,,{16,17,18,19},),0)</f>
        <v>1</v>
      </c>
      <c r="DF75" s="171">
        <f>ROUND(TREND(DF$60:DF$70,,{16,17,18,19},),0)</f>
        <v>2</v>
      </c>
      <c r="DG75" s="171">
        <f>ROUND(TREND(DG$60:DG$70,,{16,17,18,19},),0)</f>
        <v>65</v>
      </c>
      <c r="DH75" s="171">
        <f>ROUND(TREND(DH$60:DH$70,,{16,17,18,19},),0)</f>
        <v>18</v>
      </c>
      <c r="DI75" s="171">
        <f>ROUND(TREND(DI$60:DI$70,,{16,17,18,19},),0)</f>
        <v>13</v>
      </c>
      <c r="DJ75" s="171">
        <f>ROUND(TREND(DJ$60:DJ$70,,{16,17,18,19},),0)</f>
        <v>10</v>
      </c>
      <c r="DK75" s="171">
        <f>ROUND(TREND(DK$60:DK$70,,{16,17,18,19},),0)</f>
        <v>2</v>
      </c>
      <c r="DL75" s="171">
        <f>ROUND(TREND(DL$60:DL$70,,{16,17,18,19},),0)</f>
        <v>4</v>
      </c>
      <c r="DM75" s="171">
        <f>ROUND(TREND(DM$60:DM$70,,{16,17,18,19},),0)</f>
        <v>67</v>
      </c>
      <c r="DN75" s="171">
        <f>ROUND(TREND(DN$60:DN$70,,{16,17,18,19},),0)</f>
        <v>11</v>
      </c>
      <c r="DO75" s="171">
        <f>ROUND(TREND(DO$60:DO$70,,{16,17,18,19},),0)</f>
        <v>48</v>
      </c>
      <c r="DP75" s="171">
        <f>ROUND(TREND(DP$60:DP$70,,{16,17,18,19},),0)</f>
        <v>4</v>
      </c>
      <c r="DQ75" s="171">
        <f>ROUND(TREND(DQ$60:DQ$70,,{16,17,18,19},),0)</f>
        <v>0</v>
      </c>
      <c r="DR75" s="171"/>
      <c r="DS75" s="171">
        <f>ROUND(TREND(DS$60:DS$70,,{16,17,18,19},),0)</f>
        <v>39</v>
      </c>
      <c r="DT75" s="171">
        <f>ROUND(TREND(DT$60:DT$70,,{16,17,18,19},),0)</f>
        <v>-40</v>
      </c>
      <c r="DU75" s="171">
        <f>ROUND(TREND(DU$60:DU$70,,{16,17,18,19},),0)</f>
        <v>-20</v>
      </c>
      <c r="DV75" s="127">
        <f t="shared" si="210"/>
        <v>1462</v>
      </c>
      <c r="DW75" s="128"/>
    </row>
    <row r="76" spans="1:127" s="111" customFormat="1">
      <c r="A76" s="229">
        <v>2018</v>
      </c>
      <c r="B76" s="230"/>
      <c r="C76" s="169">
        <f>ROUND(TREND(C$46:C$70,,{31,32,33},),0)</f>
        <v>20</v>
      </c>
      <c r="D76" s="171">
        <f>ROUND(TREND(D$46:D$70,,{31,32,33},),0)</f>
        <v>450</v>
      </c>
      <c r="E76" s="171">
        <f>ROUND(TREND(E$46:E$70,,{31,32,33},),0)</f>
        <v>7</v>
      </c>
      <c r="F76" s="171">
        <f>ROUND(TREND(F$46:F$70,,{31,32,33},),0)</f>
        <v>8</v>
      </c>
      <c r="G76" s="171">
        <f>ROUND(TREND(G$46:G$70,,{31,32,33},),0)</f>
        <v>10</v>
      </c>
      <c r="H76" s="171">
        <f>ROUND(TREND(H$46:H$70,,{31,32,33},),0)</f>
        <v>5</v>
      </c>
      <c r="I76" s="171">
        <f>ROUND(TREND(I$46:I$70,,{31,32,33},),0)</f>
        <v>0</v>
      </c>
      <c r="J76" s="171">
        <f>ROUND(TREND(J$46:J$70,,{31,32,33},),0)</f>
        <v>547</v>
      </c>
      <c r="K76" s="171">
        <f>ROUND(TREND(K$46:K$70,,{31,32,33},),0)</f>
        <v>24</v>
      </c>
      <c r="L76" s="171">
        <f>ROUND(TREND(L$46:L$70,,{31,32,33},),0)</f>
        <v>6</v>
      </c>
      <c r="M76" s="171">
        <f>ROUND(TREND(M$46:M$70,,{31,32,33},),0)</f>
        <v>1</v>
      </c>
      <c r="N76" s="171">
        <f>ROUND(TREND(N$46:N$70,,{31,32,33},),0)</f>
        <v>0</v>
      </c>
      <c r="O76" s="171">
        <f>ROUND(TREND(O$46:O$70,,{31,32,33},),0)</f>
        <v>134</v>
      </c>
      <c r="P76" s="171">
        <f>ROUND(TREND(P$46:P$70,,{31,32,33},),0)</f>
        <v>42</v>
      </c>
      <c r="Q76" s="171">
        <f>ROUND(TREND(Q$46:Q$70,,{31,32,33},),0)</f>
        <v>6</v>
      </c>
      <c r="R76" s="170">
        <f>ROUND(TREND(R$46:R$70,,{31,32,33},),0)</f>
        <v>6</v>
      </c>
      <c r="S76" s="120">
        <f t="shared" si="209"/>
        <v>1266</v>
      </c>
      <c r="T76" s="169">
        <f>ROUND(TREND(T$52:T$70,,{25,26,27},),0)</f>
        <v>-94</v>
      </c>
      <c r="U76" s="171">
        <f>ROUND(TREND(U$56:U$70,,{21,22,23},),0)</f>
        <v>454</v>
      </c>
      <c r="V76" s="171">
        <f>ROUND(TREND(V$66:V$70,,{11,12,13},),0)</f>
        <v>-53</v>
      </c>
      <c r="W76" s="171">
        <f>ROUND(TREND(W$46:W$70,,{31,32,33},),0)</f>
        <v>-3</v>
      </c>
      <c r="X76" s="170">
        <f>ROUND(TREND(X$46:X$70,,{31,32,33},),0)</f>
        <v>7</v>
      </c>
      <c r="Z76" s="169">
        <f>ROUND(TREND(Z$53:Z$70,,{24,25,26},),0)</f>
        <v>39866171</v>
      </c>
      <c r="AA76" s="171"/>
      <c r="AB76" s="171"/>
      <c r="AC76" s="169">
        <f>ROUND(TREND(AC$54:AC$70,,{23,24,25},),0)</f>
        <v>27623789</v>
      </c>
      <c r="AD76" s="170"/>
      <c r="AE76" s="120">
        <f>SUM(AC76:AD76)</f>
        <v>27623789</v>
      </c>
      <c r="AG76" s="169">
        <f>ROUND(TREND(AG$46:AG$70,,{31,32,33},),0)</f>
        <v>1883</v>
      </c>
      <c r="AH76" s="171">
        <f>ROUND(TREND(AH$46:AH$70,,{31,32,33},),0)</f>
        <v>1671</v>
      </c>
      <c r="AI76" s="171">
        <f>ROUND(TREND(AI$46:AI$70,,{31,32,33},),0)</f>
        <v>3378</v>
      </c>
      <c r="AJ76" s="170"/>
      <c r="AL76" s="169"/>
      <c r="AM76" s="171"/>
      <c r="AN76" s="120">
        <f>ROUND(SUM(AL76:AM76),0)</f>
        <v>0</v>
      </c>
      <c r="AO76" s="171"/>
      <c r="AP76" s="171"/>
      <c r="AQ76" s="120"/>
      <c r="AR76" s="171">
        <f>ROUND(TREND(AR$60:AR$66,,{17,18},),0)</f>
        <v>107</v>
      </c>
      <c r="AS76" s="171">
        <f>ROUND(TREND(AS$60:AS$66,,{17,18},),0)</f>
        <v>77</v>
      </c>
      <c r="AT76" s="171">
        <f>ROUND(TREND(AT$60:AT$66,,{17,18},),0)</f>
        <v>57</v>
      </c>
      <c r="AU76" s="171">
        <f>ROUND(TREND(AU$60:AU$66,,{17,18},),0)</f>
        <v>4</v>
      </c>
      <c r="AV76" s="170">
        <f>ROUND(TREND(AV$60:AV$66,,{17,18},),0)</f>
        <v>229</v>
      </c>
      <c r="AW76"/>
      <c r="AX76" s="356"/>
      <c r="AY76"/>
      <c r="BA76" s="169">
        <f>ROUND(TREND(BA$46:BA$70,,{31,32,33},),0)</f>
        <v>2398</v>
      </c>
      <c r="BB76" s="171">
        <f>ROUND(TREND(BB$54:BB$70,,{23,24,25},),0)</f>
        <v>78666968</v>
      </c>
      <c r="BC76" s="171"/>
      <c r="BD76" s="171"/>
      <c r="BE76" s="171">
        <f>ROUND(TREND(BE$52:BE$70,,{25,26,27},),0)</f>
        <v>926</v>
      </c>
      <c r="BF76" s="171">
        <f>ROUND(TREND(BF$52:BF$70,,{25,26,27},),0)</f>
        <v>38</v>
      </c>
      <c r="BG76" s="171">
        <f>ROUND(TREND(BG$52:BG$70,,{25,26,27},),0)</f>
        <v>16</v>
      </c>
      <c r="BH76" s="171"/>
      <c r="BI76" s="171">
        <f>ROUND(TREND(BI$54:BI$70,,{23,24,25},),0)</f>
        <v>4813422</v>
      </c>
      <c r="BJ76" s="171"/>
      <c r="BK76" s="171"/>
      <c r="BL76" s="171">
        <f>ROUND(TREND(BL$60:BL$70,,{17,18,19},),0)</f>
        <v>-40</v>
      </c>
      <c r="BM76" s="170"/>
      <c r="BO76" s="169"/>
      <c r="BP76" s="170">
        <f>ROUND(TREND(BP$53:BP$70,,{24,25,26},),0)</f>
        <v>172</v>
      </c>
      <c r="BR76" s="246"/>
      <c r="BS76" s="166"/>
      <c r="BT76" s="247"/>
      <c r="BV76" s="169">
        <f>ROUND(TREND(BV$60:BV$70,,{17,18,19},),0)</f>
        <v>56</v>
      </c>
      <c r="BW76" s="171">
        <f>ROUND(TREND(BW$60:BW$70,,{17,18,19},),0)</f>
        <v>39</v>
      </c>
      <c r="BX76" s="171">
        <f>ROUND(TREND(BX$60:BX$70,,{17,18,19},),0)</f>
        <v>58</v>
      </c>
      <c r="BY76" s="171">
        <f>ROUND(TREND(BY$60:BY$70,,{17,18,19},),0)</f>
        <v>3</v>
      </c>
      <c r="BZ76" s="171">
        <f>ROUND(TREND(BZ$60:BZ$70,,{17,18,19},),0)</f>
        <v>2</v>
      </c>
      <c r="CA76" s="171">
        <f>ROUND(TREND(CA$60:CA$70,,{17,18,19},),0)</f>
        <v>18</v>
      </c>
      <c r="CB76" s="171">
        <f>ROUND(TREND(CB$60:CB$70,,{17,18,19},),0)</f>
        <v>4</v>
      </c>
      <c r="CC76" s="171"/>
      <c r="CD76" s="171">
        <f>ROUND(TREND(CD$60:CD$70,,{17,18,19},),0)</f>
        <v>148</v>
      </c>
      <c r="CE76" s="171">
        <f>ROUND(TREND(CE$60:CE$70,,{17,18,19},),0)</f>
        <v>46</v>
      </c>
      <c r="CF76" s="171">
        <f>ROUND(TREND(CF$60:CF$70,,{17,18,19},),0)</f>
        <v>-21</v>
      </c>
      <c r="CG76" s="171">
        <f>ROUND(TREND(CG$60:CG$70,,{17,18,19},),0)</f>
        <v>38</v>
      </c>
      <c r="CH76" s="171">
        <f>ROUND(TREND(CH$60:CH$70,,{17,18,19},),0)</f>
        <v>11</v>
      </c>
      <c r="CI76" s="171">
        <f>ROUND(TREND(CI$60:CI$70,,{17,18,19},),0)</f>
        <v>127</v>
      </c>
      <c r="CJ76" s="171">
        <f>ROUND(TREND(CJ$60:CJ$70,,{17,18,19},),0)</f>
        <v>102</v>
      </c>
      <c r="CK76" s="171"/>
      <c r="CL76" s="171">
        <f>ROUND(TREND(CL$60:CL$70,,{17,18,19},),0)</f>
        <v>5</v>
      </c>
      <c r="CM76" s="171">
        <f>ROUND(TREND(CM$60:CM$70,,{17,18,19},),0)</f>
        <v>5</v>
      </c>
      <c r="CN76" s="171">
        <f>ROUND(TREND(CN$60:CN$70,,{17,18,19},),0)</f>
        <v>21</v>
      </c>
      <c r="CO76" s="171">
        <f>ROUND(TREND(CO$60:CO$70,,{17,18,19},),0)</f>
        <v>243</v>
      </c>
      <c r="CP76" s="171">
        <f>ROUND(TREND(CP$60:CP$70,,{17,18,19},),0)</f>
        <v>0</v>
      </c>
      <c r="CQ76" s="171">
        <f>ROUND(TREND(CQ$60:CQ$70,,{17,18,19},),0)</f>
        <v>4</v>
      </c>
      <c r="CR76" s="171"/>
      <c r="CS76" s="171">
        <f>ROUND(TREND(CS$60:CS$70,,{17,18,19},),0)</f>
        <v>27</v>
      </c>
      <c r="CT76" s="171">
        <f>ROUND(TREND(CT$60:CT$70,,{17,18,19},),0)</f>
        <v>49</v>
      </c>
      <c r="CU76" s="171">
        <f>ROUND(TREND(CU$60:CU$70,,{17,18,19},),0)</f>
        <v>0</v>
      </c>
      <c r="CV76" s="171">
        <f>ROUND(TREND(CV$60:CV$70,,{17,18,19},),0)</f>
        <v>71</v>
      </c>
      <c r="CW76" s="171">
        <f>ROUND(TREND(CW$60:CW$70,,{17,18,19},),0)</f>
        <v>4</v>
      </c>
      <c r="CX76" s="171">
        <f>ROUND(TREND(CX$60:CX$70,,{17,18,19},),0)</f>
        <v>6</v>
      </c>
      <c r="CY76" s="171">
        <f>ROUND(TREND(CY$60:CY$70,,{17,18,19},),0)</f>
        <v>27</v>
      </c>
      <c r="CZ76" s="171">
        <f>ROUND(TREND(CZ$60:CZ$70,,{17,18,19},),0)</f>
        <v>3</v>
      </c>
      <c r="DA76" s="171">
        <f>ROUND(TREND(DA$60:DA$70,,{17,18,19},),0)</f>
        <v>9</v>
      </c>
      <c r="DB76" s="171">
        <f>ROUND(TREND(DB$60:DB$70,,{17,18,19},),0)</f>
        <v>135</v>
      </c>
      <c r="DC76" s="171">
        <f>ROUND(TREND(DC$60:DC$70,,{17,18,19},),0)</f>
        <v>29</v>
      </c>
      <c r="DD76" s="171">
        <f>ROUND(TREND(DD$60:DD$70,,{17,18,19},),0)</f>
        <v>2</v>
      </c>
      <c r="DE76" s="171">
        <f>ROUND(TREND(DE$60:DE$70,,{17,18,19},),0)</f>
        <v>2</v>
      </c>
      <c r="DF76" s="171">
        <f>ROUND(TREND(DF$60:DF$70,,{17,18,19},),0)</f>
        <v>2</v>
      </c>
      <c r="DG76" s="171">
        <f>ROUND(TREND(DG$60:DG$70,,{17,18,19},),0)</f>
        <v>67</v>
      </c>
      <c r="DH76" s="171">
        <f>ROUND(TREND(DH$60:DH$70,,{17,18,19},),0)</f>
        <v>18</v>
      </c>
      <c r="DI76" s="171">
        <f>ROUND(TREND(DI$60:DI$70,,{17,18,19},),0)</f>
        <v>13</v>
      </c>
      <c r="DJ76" s="171">
        <f>ROUND(TREND(DJ$60:DJ$70,,{17,18,19},),0)</f>
        <v>10</v>
      </c>
      <c r="DK76" s="171">
        <f>ROUND(TREND(DK$60:DK$70,,{17,18,19},),0)</f>
        <v>3</v>
      </c>
      <c r="DL76" s="171">
        <f>ROUND(TREND(DL$60:DL$70,,{17,18,19},),0)</f>
        <v>4</v>
      </c>
      <c r="DM76" s="171">
        <f>ROUND(TREND(DM$60:DM$70,,{17,18,19},),0)</f>
        <v>69</v>
      </c>
      <c r="DN76" s="171">
        <f>ROUND(TREND(DN$60:DN$70,,{17,18,19},),0)</f>
        <v>12</v>
      </c>
      <c r="DO76" s="171">
        <f>ROUND(TREND(DO$60:DO$70,,{17,18,19},),0)</f>
        <v>49</v>
      </c>
      <c r="DP76" s="171">
        <f>ROUND(TREND(DP$60:DP$70,,{17,18,19},),0)</f>
        <v>4</v>
      </c>
      <c r="DQ76" s="171">
        <f>ROUND(TREND(DQ$60:DQ$70,,{17,18,19},),0)</f>
        <v>0</v>
      </c>
      <c r="DR76" s="171"/>
      <c r="DS76" s="171">
        <f>ROUND(TREND(DS$60:DS$70,,{17,18,19},),0)</f>
        <v>39</v>
      </c>
      <c r="DT76" s="171">
        <f>ROUND(TREND(DT$60:DT$70,,{17,18,19},),0)</f>
        <v>-46</v>
      </c>
      <c r="DU76" s="171">
        <f>ROUND(TREND(DU$60:DU$70,,{17,18,19},),0)</f>
        <v>-23</v>
      </c>
      <c r="DV76" s="127">
        <f t="shared" si="210"/>
        <v>1494</v>
      </c>
      <c r="DW76" s="128"/>
    </row>
    <row r="77" spans="1:127" s="111" customFormat="1">
      <c r="A77" s="229">
        <v>2019</v>
      </c>
      <c r="B77" s="230"/>
      <c r="C77" s="169">
        <f>ROUND(TREND(C$46:C$70,,{32,33},),0)</f>
        <v>17</v>
      </c>
      <c r="D77" s="171">
        <f>ROUND(TREND(D$46:D$70,,{32,33},),0)</f>
        <v>452</v>
      </c>
      <c r="E77" s="171">
        <f>ROUND(TREND(E$46:E$70,,{32,33},),0)</f>
        <v>4</v>
      </c>
      <c r="F77" s="171">
        <f>ROUND(TREND(F$46:F$70,,{32,33},),0)</f>
        <v>8</v>
      </c>
      <c r="G77" s="171">
        <f>ROUND(TREND(G$46:G$70,,{32,33},),0)</f>
        <v>9</v>
      </c>
      <c r="H77" s="171">
        <f>ROUND(TREND(H$46:H$70,,{32,33},),0)</f>
        <v>3</v>
      </c>
      <c r="I77" s="171">
        <f>ROUND(TREND(I$46:I$70,,{32,33},),0)</f>
        <v>0</v>
      </c>
      <c r="J77" s="171">
        <f>ROUND(TREND(J$46:J$70,,{32,33},),0)</f>
        <v>564</v>
      </c>
      <c r="K77" s="171">
        <f>ROUND(TREND(K$46:K$70,,{32,33},),0)</f>
        <v>25</v>
      </c>
      <c r="L77" s="171">
        <f>ROUND(TREND(L$46:L$70,,{32,33},),0)</f>
        <v>7</v>
      </c>
      <c r="M77" s="171">
        <f>ROUND(TREND(M$46:M$70,,{32,33},),0)</f>
        <v>1</v>
      </c>
      <c r="N77" s="171">
        <f>ROUND(TREND(N$46:N$70,,{32,33},),0)</f>
        <v>0</v>
      </c>
      <c r="O77" s="171">
        <f>ROUND(TREND(O$46:O$70,,{32,33},),0)</f>
        <v>128</v>
      </c>
      <c r="P77" s="171">
        <f>ROUND(TREND(P$46:P$70,,{32,33},),0)</f>
        <v>43</v>
      </c>
      <c r="Q77" s="171">
        <f>ROUND(TREND(Q$46:Q$70,,{32,33},),0)</f>
        <v>6</v>
      </c>
      <c r="R77" s="170">
        <f>ROUND(TREND(R$46:R$70,,{32,33},),0)</f>
        <v>6</v>
      </c>
      <c r="S77" s="120">
        <f t="shared" si="209"/>
        <v>1273</v>
      </c>
      <c r="T77" s="169">
        <f>ROUND(TREND(T$52:T$70,,{26,27},),0)</f>
        <v>-103</v>
      </c>
      <c r="U77" s="171">
        <f>ROUND(TREND(U$56:U$70,,{22,23},),0)</f>
        <v>464</v>
      </c>
      <c r="V77" s="171">
        <f>ROUND(TREND(V$66:V$70,,{12,13},),0)</f>
        <v>-97</v>
      </c>
      <c r="W77" s="171">
        <f>ROUND(TREND(W$46:W$70,,{32,33},),0)</f>
        <v>-4</v>
      </c>
      <c r="X77" s="170">
        <f>ROUND(TREND(X$46:X$70,,{32,33},),0)</f>
        <v>7</v>
      </c>
      <c r="Z77" s="169">
        <f>ROUND(TREND(Z$53:Z$70,,{25,26},),0)</f>
        <v>40326170</v>
      </c>
      <c r="AA77" s="171"/>
      <c r="AB77" s="171"/>
      <c r="AC77" s="169">
        <f>ROUND(TREND(AC$54:AC$70,,{24,25},),0)</f>
        <v>28231944</v>
      </c>
      <c r="AD77" s="170"/>
      <c r="AE77" s="120">
        <f>SUM(AC77:AD77)</f>
        <v>28231944</v>
      </c>
      <c r="AG77" s="169">
        <f>ROUND(TREND(AG$46:AG$70,,{32,33},),0)</f>
        <v>1883</v>
      </c>
      <c r="AH77" s="171">
        <f>ROUND(TREND(AH$46:AH$70,,{32,33},),0)</f>
        <v>1717</v>
      </c>
      <c r="AI77" s="171">
        <f>ROUND(TREND(AI$46:AI$70,,{32,33},),0)</f>
        <v>3383</v>
      </c>
      <c r="AJ77" s="170"/>
      <c r="AL77" s="169"/>
      <c r="AM77" s="171"/>
      <c r="AN77" s="120">
        <f>ROUND(SUM(AL77:AM77),0)</f>
        <v>0</v>
      </c>
      <c r="AO77" s="171"/>
      <c r="AP77" s="171"/>
      <c r="AQ77" s="120"/>
      <c r="AR77" s="171">
        <f>ROUND(TREND(AR$60:AR$66,,{18},),0)</f>
        <v>104</v>
      </c>
      <c r="AS77" s="171">
        <f>ROUND(TREND(AS$60:AS$66,,{18},),0)</f>
        <v>79</v>
      </c>
      <c r="AT77" s="171">
        <f>ROUND(TREND(AT$60:AT$66,,{18},),0)</f>
        <v>53</v>
      </c>
      <c r="AU77" s="171">
        <f>ROUND(TREND(AU$60:AU$66,,{18},),0)</f>
        <v>3</v>
      </c>
      <c r="AV77" s="170">
        <f>ROUND(TREND(AV$60:AV$66,,{18},),0)</f>
        <v>232</v>
      </c>
      <c r="AW77"/>
      <c r="AX77" s="356"/>
      <c r="AY77"/>
      <c r="BA77" s="169">
        <f>ROUND(TREND(BA$46:BA$70,,{32,33},),0)</f>
        <v>2444</v>
      </c>
      <c r="BB77" s="171">
        <f>ROUND(TREND(BB$54:BB$70,,{24,25},),0)</f>
        <v>81384560</v>
      </c>
      <c r="BC77" s="171"/>
      <c r="BD77" s="171"/>
      <c r="BE77" s="171">
        <f>ROUND(TREND(BE$52:BE$70,,{26,27},),0)</f>
        <v>930</v>
      </c>
      <c r="BF77" s="171">
        <f>ROUND(TREND(BF$52:BF$70,,{26,27},),0)</f>
        <v>36</v>
      </c>
      <c r="BG77" s="171">
        <f>ROUND(TREND(BG$52:BG$70,,{26,27},),0)</f>
        <v>15</v>
      </c>
      <c r="BH77" s="171"/>
      <c r="BI77" s="171">
        <f>ROUND(TREND(BI$54:BI$70,,{24,25},),0)</f>
        <v>4969489</v>
      </c>
      <c r="BJ77" s="171"/>
      <c r="BK77" s="171"/>
      <c r="BL77" s="171">
        <f>ROUND(TREND(BL$60:BL$70,,{18,19},),0)</f>
        <v>-47</v>
      </c>
      <c r="BM77" s="170"/>
      <c r="BO77" s="169"/>
      <c r="BP77" s="170">
        <f>ROUND(TREND(BP$53:BP$70,,{25,26},),0)</f>
        <v>173</v>
      </c>
      <c r="BR77" s="246"/>
      <c r="BS77" s="166"/>
      <c r="BT77" s="247"/>
      <c r="BV77" s="169">
        <f>ROUND(TREND(BV$60:BV$70,,{18,19},),0)</f>
        <v>58</v>
      </c>
      <c r="BW77" s="171">
        <f>ROUND(TREND(BW$60:BW$70,,{18,19},),0)</f>
        <v>39</v>
      </c>
      <c r="BX77" s="171">
        <f>ROUND(TREND(BX$60:BX$70,,{18,19},),0)</f>
        <v>61</v>
      </c>
      <c r="BY77" s="171">
        <f>ROUND(TREND(BY$60:BY$70,,{18,19},),0)</f>
        <v>3</v>
      </c>
      <c r="BZ77" s="171">
        <f>ROUND(TREND(BZ$60:BZ$70,,{18,19},),0)</f>
        <v>2</v>
      </c>
      <c r="CA77" s="171">
        <f>ROUND(TREND(CA$60:CA$70,,{18,19},),0)</f>
        <v>20</v>
      </c>
      <c r="CB77" s="171">
        <f>ROUND(TREND(CB$60:CB$70,,{18,19},),0)</f>
        <v>4</v>
      </c>
      <c r="CC77" s="171"/>
      <c r="CD77" s="171">
        <f>ROUND(TREND(CD$60:CD$70,,{18,19},),0)</f>
        <v>152</v>
      </c>
      <c r="CE77" s="171">
        <f>ROUND(TREND(CE$60:CE$70,,{18,19},),0)</f>
        <v>49</v>
      </c>
      <c r="CF77" s="171">
        <f>ROUND(TREND(CF$60:CF$70,,{18,19},),0)</f>
        <v>-24</v>
      </c>
      <c r="CG77" s="171">
        <f>ROUND(TREND(CG$60:CG$70,,{18,19},),0)</f>
        <v>40</v>
      </c>
      <c r="CH77" s="171">
        <f>ROUND(TREND(CH$60:CH$70,,{18,19},),0)</f>
        <v>11</v>
      </c>
      <c r="CI77" s="171">
        <f>ROUND(TREND(CI$60:CI$70,,{18,19},),0)</f>
        <v>132</v>
      </c>
      <c r="CJ77" s="171">
        <f>ROUND(TREND(CJ$60:CJ$70,,{18,19},),0)</f>
        <v>101</v>
      </c>
      <c r="CK77" s="171"/>
      <c r="CL77" s="171">
        <f>ROUND(TREND(CL$60:CL$70,,{18,19},),0)</f>
        <v>5</v>
      </c>
      <c r="CM77" s="171">
        <f>ROUND(TREND(CM$60:CM$70,,{18,19},),0)</f>
        <v>4</v>
      </c>
      <c r="CN77" s="171">
        <f>ROUND(TREND(CN$60:CN$70,,{18,19},),0)</f>
        <v>23</v>
      </c>
      <c r="CO77" s="171">
        <f>ROUND(TREND(CO$60:CO$70,,{18,19},),0)</f>
        <v>253</v>
      </c>
      <c r="CP77" s="171">
        <f>ROUND(TREND(CP$60:CP$70,,{18,19},),0)</f>
        <v>0</v>
      </c>
      <c r="CQ77" s="171">
        <f>ROUND(TREND(CQ$60:CQ$70,,{18,19},),0)</f>
        <v>4</v>
      </c>
      <c r="CR77" s="171"/>
      <c r="CS77" s="171">
        <f>ROUND(TREND(CS$60:CS$70,,{18,19},),0)</f>
        <v>27</v>
      </c>
      <c r="CT77" s="171">
        <f>ROUND(TREND(CT$60:CT$70,,{18,19},),0)</f>
        <v>47</v>
      </c>
      <c r="CU77" s="171">
        <f>ROUND(TREND(CU$60:CU$70,,{18,19},),0)</f>
        <v>0</v>
      </c>
      <c r="CV77" s="171">
        <f>ROUND(TREND(CV$60:CV$70,,{18,19},),0)</f>
        <v>71</v>
      </c>
      <c r="CW77" s="171">
        <f>ROUND(TREND(CW$60:CW$70,,{18,19},),0)</f>
        <v>4</v>
      </c>
      <c r="CX77" s="171">
        <f>ROUND(TREND(CX$60:CX$70,,{18,19},),0)</f>
        <v>6</v>
      </c>
      <c r="CY77" s="171">
        <f>ROUND(TREND(CY$60:CY$70,,{18,19},),0)</f>
        <v>27</v>
      </c>
      <c r="CZ77" s="171">
        <f>ROUND(TREND(CZ$60:CZ$70,,{18,19},),0)</f>
        <v>4</v>
      </c>
      <c r="DA77" s="171">
        <f>ROUND(TREND(DA$60:DA$70,,{18,19},),0)</f>
        <v>10</v>
      </c>
      <c r="DB77" s="171">
        <f>ROUND(TREND(DB$60:DB$70,,{18,19},),0)</f>
        <v>137</v>
      </c>
      <c r="DC77" s="171">
        <f>ROUND(TREND(DC$60:DC$70,,{18,19},),0)</f>
        <v>31</v>
      </c>
      <c r="DD77" s="171">
        <f>ROUND(TREND(DD$60:DD$70,,{18,19},),0)</f>
        <v>2</v>
      </c>
      <c r="DE77" s="171">
        <f>ROUND(TREND(DE$60:DE$70,,{18,19},),0)</f>
        <v>2</v>
      </c>
      <c r="DF77" s="171">
        <f>ROUND(TREND(DF$60:DF$70,,{18,19},),0)</f>
        <v>2</v>
      </c>
      <c r="DG77" s="171">
        <f>ROUND(TREND(DG$60:DG$70,,{18,19},),0)</f>
        <v>69</v>
      </c>
      <c r="DH77" s="171">
        <f>ROUND(TREND(DH$60:DH$70,,{18,19},),0)</f>
        <v>18</v>
      </c>
      <c r="DI77" s="171">
        <f>ROUND(TREND(DI$60:DI$70,,{18,19},),0)</f>
        <v>13</v>
      </c>
      <c r="DJ77" s="171">
        <f>ROUND(TREND(DJ$60:DJ$70,,{18,19},),0)</f>
        <v>9</v>
      </c>
      <c r="DK77" s="171">
        <f>ROUND(TREND(DK$60:DK$70,,{18,19},),0)</f>
        <v>3</v>
      </c>
      <c r="DL77" s="171">
        <f>ROUND(TREND(DL$60:DL$70,,{18,19},),0)</f>
        <v>5</v>
      </c>
      <c r="DM77" s="171">
        <f>ROUND(TREND(DM$60:DM$70,,{18,19},),0)</f>
        <v>71</v>
      </c>
      <c r="DN77" s="171">
        <f>ROUND(TREND(DN$60:DN$70,,{18,19},),0)</f>
        <v>12</v>
      </c>
      <c r="DO77" s="171">
        <f>ROUND(TREND(DO$60:DO$70,,{18,19},),0)</f>
        <v>51</v>
      </c>
      <c r="DP77" s="171">
        <f>ROUND(TREND(DP$60:DP$70,,{18,19},),0)</f>
        <v>5</v>
      </c>
      <c r="DQ77" s="171">
        <f>ROUND(TREND(DQ$60:DQ$70,,{18,19},),0)</f>
        <v>0</v>
      </c>
      <c r="DR77" s="171"/>
      <c r="DS77" s="171">
        <f>ROUND(TREND(DS$60:DS$70,,{18,19},),0)</f>
        <v>39</v>
      </c>
      <c r="DT77" s="171">
        <f>ROUND(TREND(DT$60:DT$70,,{18,19},),0)</f>
        <v>-51</v>
      </c>
      <c r="DU77" s="171">
        <f>ROUND(TREND(DU$60:DU$70,,{18,19},),0)</f>
        <v>-25</v>
      </c>
      <c r="DV77" s="127">
        <f t="shared" si="210"/>
        <v>1526</v>
      </c>
      <c r="DW77" s="128"/>
    </row>
    <row r="78" spans="1:127" s="111" customFormat="1">
      <c r="A78" s="229">
        <v>2020</v>
      </c>
      <c r="B78" s="230"/>
      <c r="C78" s="169">
        <f>ROUND(TREND(C$47:C$70,,{33},),0)</f>
        <v>20</v>
      </c>
      <c r="D78" s="171">
        <f>ROUND(TREND(D$47:D$70,,{33},),0)</f>
        <v>436</v>
      </c>
      <c r="E78" s="171">
        <f>ROUND(TREND(E$47:E$70,,{33},),0)</f>
        <v>-7</v>
      </c>
      <c r="F78" s="171">
        <f>ROUND(TREND(F$47:F$70,,{33},),0)</f>
        <v>11</v>
      </c>
      <c r="G78" s="171">
        <f>ROUND(TREND(G$47:G$70,,{33},),0)</f>
        <v>0</v>
      </c>
      <c r="H78" s="171">
        <f>ROUND(TREND(H$47:H$70,,{33},),0)</f>
        <v>4</v>
      </c>
      <c r="I78" s="171">
        <f>ROUND(TREND(I$47:I$70,,{33},),0)</f>
        <v>0</v>
      </c>
      <c r="J78" s="171">
        <f>ROUND(TREND(J$47:J$70,,{33},),0)</f>
        <v>588</v>
      </c>
      <c r="K78" s="171">
        <f>ROUND(TREND(K$47:K$70,,{33},),0)</f>
        <v>27</v>
      </c>
      <c r="L78" s="171">
        <f>ROUND(TREND(L$47:L$70,,{33},),0)</f>
        <v>7</v>
      </c>
      <c r="M78" s="171">
        <f>ROUND(TREND(M$47:M$70,,{33},),0)</f>
        <v>2</v>
      </c>
      <c r="N78" s="171">
        <f>ROUND(TREND(N$47:N$70,,{33},),0)</f>
        <v>0</v>
      </c>
      <c r="O78" s="171">
        <f>ROUND(TREND(O$47:O$70,,{33},),0)</f>
        <v>77</v>
      </c>
      <c r="P78" s="171">
        <f>ROUND(TREND(P$47:P$70,,{33},),0)</f>
        <v>45</v>
      </c>
      <c r="Q78" s="171">
        <f>ROUND(TREND(Q$47:Q$70,,{33},),0)</f>
        <v>6</v>
      </c>
      <c r="R78" s="170">
        <f>ROUND(TREND(R$47:R$70,,{33},),0)</f>
        <v>6</v>
      </c>
      <c r="S78" s="120">
        <f t="shared" si="209"/>
        <v>1222</v>
      </c>
      <c r="T78" s="169">
        <f>ROUND(TREND(T$52:T$70,,{27},),0)</f>
        <v>-112</v>
      </c>
      <c r="U78" s="171">
        <f>ROUND(TREND(U$56:U$70,,{23},),0)</f>
        <v>475</v>
      </c>
      <c r="V78" s="171">
        <f>ROUND(TREND(V$66:V$70,,{13},),0)</f>
        <v>-141</v>
      </c>
      <c r="W78" s="171">
        <f>ROUND(TREND(W$47:W$70,,{33},),0)</f>
        <v>-8</v>
      </c>
      <c r="X78" s="170">
        <f>ROUND(TREND(X$47:X$70,,{33},),0)</f>
        <v>6</v>
      </c>
      <c r="Z78" s="169">
        <f>ROUND(TREND(Z$53:Z$70,,{26},),0)</f>
        <v>40786170</v>
      </c>
      <c r="AA78" s="171"/>
      <c r="AB78" s="171"/>
      <c r="AC78" s="169">
        <f>ROUND(TREND(AC$54:AC$70,,{25},),0)</f>
        <v>28840099</v>
      </c>
      <c r="AD78" s="171"/>
      <c r="AE78" s="120"/>
      <c r="AG78" s="169">
        <f>ROUND(TREND(AG$47:AG$70,,{33},),0)</f>
        <v>1691</v>
      </c>
      <c r="AH78" s="171">
        <f>ROUND(TREND(AH$47:AH$70,,{33},),0)</f>
        <v>1796</v>
      </c>
      <c r="AI78" s="171">
        <f>ROUND(TREND(AI$47:AI$70,,{33},),0)</f>
        <v>3395</v>
      </c>
      <c r="AJ78" s="170"/>
      <c r="AL78" s="169"/>
      <c r="AM78" s="171"/>
      <c r="AN78" s="120"/>
      <c r="AO78" s="171"/>
      <c r="AP78" s="171"/>
      <c r="AQ78" s="120"/>
      <c r="AR78" s="171"/>
      <c r="AS78" s="171"/>
      <c r="AT78" s="171"/>
      <c r="AU78" s="171"/>
      <c r="AV78" s="170"/>
      <c r="AW78"/>
      <c r="AX78" s="356"/>
      <c r="AY78"/>
      <c r="BA78" s="169">
        <f>ROUND(TREND(BA$47:BA$70,,{33},),0)</f>
        <v>2610</v>
      </c>
      <c r="BB78" s="171">
        <f>ROUND(TREND(BB$54:BB$70,,{25},),0)</f>
        <v>84102152</v>
      </c>
      <c r="BC78" s="171"/>
      <c r="BD78" s="171"/>
      <c r="BE78" s="171">
        <f>ROUND(TREND(BE$52:BE$70,,{27},),0)</f>
        <v>935</v>
      </c>
      <c r="BF78" s="171">
        <f>ROUND(TREND(BF$52:BF$70,,{27},),0)</f>
        <v>35</v>
      </c>
      <c r="BG78" s="171">
        <f>ROUND(TREND(BG$52:BG$70,,{27},),0)</f>
        <v>13</v>
      </c>
      <c r="BH78" s="171"/>
      <c r="BI78" s="171">
        <f>ROUND(TREND(BI$54:BI$70,,{25},),0)</f>
        <v>5125555</v>
      </c>
      <c r="BJ78" s="171"/>
      <c r="BK78" s="171"/>
      <c r="BL78" s="171">
        <f>ROUND(TREND(BL$60:BL$70,,{19},),0)</f>
        <v>-54</v>
      </c>
      <c r="BM78" s="170"/>
      <c r="BO78" s="169"/>
      <c r="BP78" s="170">
        <f>ROUND(TREND(BP$53:BP$70,,{26},),0)</f>
        <v>174</v>
      </c>
      <c r="BR78" s="246"/>
      <c r="BS78" s="166"/>
      <c r="BT78" s="247"/>
      <c r="BV78" s="169">
        <f>ROUND(TREND(BV$60:BV$70,,{19},),0)</f>
        <v>59</v>
      </c>
      <c r="BW78" s="171">
        <f>ROUND(TREND(BW$60:BW$70,,{19},),0)</f>
        <v>40</v>
      </c>
      <c r="BX78" s="171">
        <f>ROUND(TREND(BX$60:BX$70,,{19},),0)</f>
        <v>63</v>
      </c>
      <c r="BY78" s="171">
        <f>ROUND(TREND(BY$60:BY$70,,{19},),0)</f>
        <v>3</v>
      </c>
      <c r="BZ78" s="171">
        <f>ROUND(TREND(BZ$60:BZ$70,,{19},),0)</f>
        <v>3</v>
      </c>
      <c r="CA78" s="171">
        <f>ROUND(TREND(CA$60:CA$70,,{19},),0)</f>
        <v>21</v>
      </c>
      <c r="CB78" s="171">
        <f>ROUND(TREND(CB$60:CB$70,,{19},),0)</f>
        <v>4</v>
      </c>
      <c r="CC78" s="171"/>
      <c r="CD78" s="171">
        <f>ROUND(TREND(CD$60:CD$70,,{19},),0)</f>
        <v>156</v>
      </c>
      <c r="CE78" s="171">
        <f>ROUND(TREND(CE$60:CE$70,,{19},),0)</f>
        <v>53</v>
      </c>
      <c r="CF78" s="171">
        <f>ROUND(TREND(CF$60:CF$70,,{19},),0)</f>
        <v>-27</v>
      </c>
      <c r="CG78" s="171">
        <f>ROUND(TREND(CG$60:CG$70,,{19},),0)</f>
        <v>42</v>
      </c>
      <c r="CH78" s="171">
        <f>ROUND(TREND(CH$60:CH$70,,{19},),0)</f>
        <v>12</v>
      </c>
      <c r="CI78" s="171">
        <f>ROUND(TREND(CI$60:CI$70,,{19},),0)</f>
        <v>137</v>
      </c>
      <c r="CJ78" s="171">
        <f>ROUND(TREND(CJ$60:CJ$70,,{19},),0)</f>
        <v>100</v>
      </c>
      <c r="CK78" s="171"/>
      <c r="CL78" s="171">
        <f>ROUND(TREND(CL$60:CL$70,,{19},),0)</f>
        <v>6</v>
      </c>
      <c r="CM78" s="171">
        <f>ROUND(TREND(CM$60:CM$70,,{19},),0)</f>
        <v>4</v>
      </c>
      <c r="CN78" s="171">
        <f>ROUND(TREND(CN$60:CN$70,,{19},),0)</f>
        <v>24</v>
      </c>
      <c r="CO78" s="171">
        <f>ROUND(TREND(CO$60:CO$70,,{19},),0)</f>
        <v>264</v>
      </c>
      <c r="CP78" s="171">
        <f>ROUND(TREND(CP$60:CP$70,,{19},),0)</f>
        <v>0</v>
      </c>
      <c r="CQ78" s="171">
        <f>ROUND(TREND(CQ$60:CQ$70,,{19},),0)</f>
        <v>4</v>
      </c>
      <c r="CR78" s="171"/>
      <c r="CS78" s="171">
        <f>ROUND(TREND(CS$60:CS$70,,{19},),0)</f>
        <v>27</v>
      </c>
      <c r="CT78" s="171">
        <f>ROUND(TREND(CT$60:CT$70,,{19},),0)</f>
        <v>45</v>
      </c>
      <c r="CU78" s="171">
        <f>ROUND(TREND(CU$60:CU$70,,{19},),0)</f>
        <v>0</v>
      </c>
      <c r="CV78" s="171">
        <f>ROUND(TREND(CV$60:CV$70,,{19},),0)</f>
        <v>72</v>
      </c>
      <c r="CW78" s="171">
        <f>ROUND(TREND(CW$60:CW$70,,{19},),0)</f>
        <v>4</v>
      </c>
      <c r="CX78" s="171">
        <f>ROUND(TREND(CX$60:CX$70,,{19},),0)</f>
        <v>7</v>
      </c>
      <c r="CY78" s="171">
        <f>ROUND(TREND(CY$60:CY$70,,{19},),0)</f>
        <v>27</v>
      </c>
      <c r="CZ78" s="171">
        <f>ROUND(TREND(CZ$60:CZ$70,,{19},),0)</f>
        <v>4</v>
      </c>
      <c r="DA78" s="171">
        <f>ROUND(TREND(DA$60:DA$70,,{19},),0)</f>
        <v>11</v>
      </c>
      <c r="DB78" s="171">
        <f>ROUND(TREND(DB$60:DB$70,,{19},),0)</f>
        <v>139</v>
      </c>
      <c r="DC78" s="171">
        <f>ROUND(TREND(DC$60:DC$70,,{19},),0)</f>
        <v>33</v>
      </c>
      <c r="DD78" s="171">
        <f>ROUND(TREND(DD$60:DD$70,,{19},),0)</f>
        <v>2</v>
      </c>
      <c r="DE78" s="171">
        <f>ROUND(TREND(DE$60:DE$70,,{19},),0)</f>
        <v>2</v>
      </c>
      <c r="DF78" s="171">
        <f>ROUND(TREND(DF$60:DF$70,,{19},),0)</f>
        <v>2</v>
      </c>
      <c r="DG78" s="171">
        <f>ROUND(TREND(DG$60:DG$70,,{19},),0)</f>
        <v>71</v>
      </c>
      <c r="DH78" s="171">
        <f>ROUND(TREND(DH$60:DH$70,,{19},),0)</f>
        <v>19</v>
      </c>
      <c r="DI78" s="171">
        <f>ROUND(TREND(DI$60:DI$70,,{19},),0)</f>
        <v>13</v>
      </c>
      <c r="DJ78" s="171">
        <f>ROUND(TREND(DJ$60:DJ$70,,{19},),0)</f>
        <v>9</v>
      </c>
      <c r="DK78" s="171">
        <f>ROUND(TREND(DK$60:DK$70,,{19},),0)</f>
        <v>3</v>
      </c>
      <c r="DL78" s="171">
        <f>ROUND(TREND(DL$60:DL$70,,{19},),0)</f>
        <v>5</v>
      </c>
      <c r="DM78" s="171">
        <f>ROUND(TREND(DM$60:DM$70,,{19},),0)</f>
        <v>73</v>
      </c>
      <c r="DN78" s="171">
        <f>ROUND(TREND(DN$60:DN$70,,{19},),0)</f>
        <v>13</v>
      </c>
      <c r="DO78" s="171">
        <f>ROUND(TREND(DO$60:DO$70,,{19},),0)</f>
        <v>53</v>
      </c>
      <c r="DP78" s="171">
        <f>ROUND(TREND(DP$60:DP$70,,{19},),0)</f>
        <v>5</v>
      </c>
      <c r="DQ78" s="171">
        <f>ROUND(TREND(DQ$60:DQ$70,,{19},),0)</f>
        <v>0</v>
      </c>
      <c r="DR78" s="171"/>
      <c r="DS78" s="171">
        <f>ROUND(TREND(DS$60:DS$70,,{19},),0)</f>
        <v>39</v>
      </c>
      <c r="DT78" s="171">
        <f>ROUND(TREND(DT$60:DT$70,,{19},),0)</f>
        <v>-57</v>
      </c>
      <c r="DU78" s="171">
        <f>ROUND(TREND(DU$60:DU$70,,{19},),0)</f>
        <v>-28</v>
      </c>
      <c r="DV78" s="127">
        <f t="shared" si="210"/>
        <v>1561</v>
      </c>
      <c r="DW78" s="128"/>
    </row>
    <row r="79" spans="1:127" s="111" customFormat="1" ht="12" thickBot="1">
      <c r="A79" s="229"/>
      <c r="B79" s="230"/>
      <c r="C79" s="262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4"/>
      <c r="S79" s="177"/>
      <c r="T79" s="173"/>
      <c r="U79" s="173"/>
      <c r="V79" s="173"/>
      <c r="W79" s="173"/>
      <c r="X79" s="175"/>
      <c r="Y79" s="118"/>
      <c r="Z79" s="172"/>
      <c r="AA79" s="173"/>
      <c r="AB79" s="173"/>
      <c r="AC79" s="172"/>
      <c r="AD79" s="173"/>
      <c r="AE79" s="174"/>
      <c r="AF79" s="118"/>
      <c r="AG79" s="172"/>
      <c r="AH79" s="173"/>
      <c r="AI79" s="173"/>
      <c r="AJ79" s="175"/>
      <c r="AK79" s="118"/>
      <c r="AL79" s="172"/>
      <c r="AM79" s="173"/>
      <c r="AN79" s="120"/>
      <c r="AO79" s="173"/>
      <c r="AP79" s="173"/>
      <c r="AQ79" s="120"/>
      <c r="AR79" s="173"/>
      <c r="AS79" s="173"/>
      <c r="AT79" s="173"/>
      <c r="AU79" s="173"/>
      <c r="AV79" s="175"/>
      <c r="AW79"/>
      <c r="AX79" s="356"/>
      <c r="AY79"/>
      <c r="AZ79" s="118"/>
      <c r="BA79" s="172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5"/>
      <c r="BN79" s="118"/>
      <c r="BO79" s="172"/>
      <c r="BP79" s="175"/>
      <c r="BQ79" s="118"/>
      <c r="BR79" s="248"/>
      <c r="BS79" s="176"/>
      <c r="BT79" s="249"/>
      <c r="BU79" s="118"/>
      <c r="BV79" s="172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3"/>
      <c r="DE79" s="173"/>
      <c r="DF79" s="173"/>
      <c r="DG79" s="173"/>
      <c r="DH79" s="173"/>
      <c r="DI79" s="173"/>
      <c r="DJ79" s="173"/>
      <c r="DK79" s="173"/>
      <c r="DL79" s="173"/>
      <c r="DM79" s="173"/>
      <c r="DN79" s="173"/>
      <c r="DO79" s="173"/>
      <c r="DP79" s="173"/>
      <c r="DQ79" s="173"/>
      <c r="DR79" s="173"/>
      <c r="DS79" s="173"/>
      <c r="DT79" s="173"/>
      <c r="DU79" s="173"/>
      <c r="DV79" s="177"/>
      <c r="DW79" s="142"/>
    </row>
    <row r="80" spans="1:127" s="111" customFormat="1">
      <c r="C80" s="185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32"/>
      <c r="T80" s="186"/>
      <c r="U80" s="186"/>
      <c r="V80" s="186"/>
      <c r="W80" s="186"/>
      <c r="X80" s="187"/>
      <c r="Z80" s="185"/>
      <c r="AA80" s="186"/>
      <c r="AB80" s="186"/>
      <c r="AC80" s="185"/>
      <c r="AD80" s="186"/>
      <c r="AE80" s="187"/>
      <c r="AG80" s="185"/>
      <c r="AH80" s="186"/>
      <c r="AI80" s="186"/>
      <c r="AJ80" s="187"/>
      <c r="AL80" s="185"/>
      <c r="AM80" s="186"/>
      <c r="AN80" s="132"/>
      <c r="AO80" s="186"/>
      <c r="AP80" s="186"/>
      <c r="AQ80" s="132"/>
      <c r="AR80" s="186"/>
      <c r="AS80" s="186"/>
      <c r="AT80" s="186"/>
      <c r="AU80" s="186"/>
      <c r="AV80" s="187"/>
      <c r="AW80"/>
      <c r="AX80" s="356"/>
      <c r="AY80"/>
      <c r="BA80" s="185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7"/>
      <c r="BO80" s="185"/>
      <c r="BP80" s="187"/>
      <c r="BR80" s="272"/>
      <c r="BS80" s="273"/>
      <c r="BT80" s="274"/>
      <c r="BV80" s="185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6"/>
      <c r="DC80" s="186"/>
      <c r="DD80" s="186"/>
      <c r="DE80" s="186"/>
      <c r="DF80" s="186"/>
      <c r="DG80" s="186"/>
      <c r="DH80" s="186"/>
      <c r="DI80" s="186"/>
      <c r="DJ80" s="186"/>
      <c r="DK80" s="186"/>
      <c r="DL80" s="186"/>
      <c r="DM80" s="186"/>
      <c r="DN80" s="186"/>
      <c r="DO80" s="186"/>
      <c r="DP80" s="186"/>
      <c r="DQ80" s="186"/>
      <c r="DR80" s="186"/>
      <c r="DS80" s="186"/>
      <c r="DT80" s="186"/>
      <c r="DU80" s="186"/>
      <c r="DV80" s="187"/>
    </row>
    <row r="81" spans="1:129" customFormat="1" ht="12" thickBot="1">
      <c r="V81" s="298"/>
      <c r="AX81" s="356"/>
      <c r="BD81" s="318"/>
      <c r="BH81" s="356"/>
      <c r="BJ81" s="298"/>
      <c r="BK81" s="298"/>
      <c r="BL81" s="298"/>
      <c r="CC81" s="356"/>
      <c r="CK81" s="356"/>
      <c r="CL81" s="318"/>
      <c r="CP81" s="318"/>
      <c r="CR81" s="356"/>
      <c r="CX81" s="318"/>
      <c r="DK81" s="318"/>
      <c r="DR81" s="356"/>
    </row>
    <row r="82" spans="1:129" s="111" customFormat="1" ht="22.5">
      <c r="A82" s="258" t="s">
        <v>131</v>
      </c>
      <c r="B82" s="227"/>
      <c r="C82" s="152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53"/>
      <c r="T82" s="149"/>
      <c r="U82" s="149"/>
      <c r="V82" s="149"/>
      <c r="W82" s="149"/>
      <c r="X82" s="151"/>
      <c r="Y82" s="149"/>
      <c r="Z82" s="152"/>
      <c r="AA82" s="149"/>
      <c r="AB82" s="149"/>
      <c r="AC82" s="152"/>
      <c r="AD82" s="149"/>
      <c r="AE82" s="112"/>
      <c r="AF82" s="149"/>
      <c r="AG82" s="152"/>
      <c r="AH82" s="149"/>
      <c r="AI82" s="149"/>
      <c r="AJ82" s="151"/>
      <c r="AK82" s="149"/>
      <c r="AL82" s="152"/>
      <c r="AM82" s="149"/>
      <c r="AN82" s="153"/>
      <c r="AO82" s="149"/>
      <c r="AP82" s="149"/>
      <c r="AQ82" s="153"/>
      <c r="AR82" s="149"/>
      <c r="AS82" s="149"/>
      <c r="AT82" s="149"/>
      <c r="AU82" s="149"/>
      <c r="AV82" s="151"/>
      <c r="AW82"/>
      <c r="AX82" s="356"/>
      <c r="AY82"/>
      <c r="AZ82" s="149"/>
      <c r="BA82" s="152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51"/>
      <c r="BN82" s="149"/>
      <c r="BO82" s="152"/>
      <c r="BP82" s="151"/>
      <c r="BQ82" s="149"/>
      <c r="BR82" s="242"/>
      <c r="BS82" s="154"/>
      <c r="BT82" s="243"/>
      <c r="BU82" s="149"/>
      <c r="BV82" s="152"/>
      <c r="BW82" s="149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51"/>
      <c r="DW82" s="155"/>
    </row>
    <row r="83" spans="1:129" s="1" customFormat="1">
      <c r="A83" s="2"/>
      <c r="B83" s="2"/>
      <c r="C83" s="370" t="s">
        <v>0</v>
      </c>
      <c r="D83" s="371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2"/>
      <c r="Y83" s="356"/>
      <c r="Z83" s="373" t="s">
        <v>151</v>
      </c>
      <c r="AA83" s="375"/>
      <c r="AB83" s="375"/>
      <c r="AC83" s="375"/>
      <c r="AD83" s="375"/>
      <c r="AE83" s="374"/>
      <c r="AF83" s="356"/>
      <c r="AG83" s="370" t="s">
        <v>1</v>
      </c>
      <c r="AH83" s="371"/>
      <c r="AI83" s="371"/>
      <c r="AJ83" s="372"/>
      <c r="AK83" s="356"/>
      <c r="AL83" s="373" t="s">
        <v>150</v>
      </c>
      <c r="AM83" s="375"/>
      <c r="AN83" s="375"/>
      <c r="AO83" s="375"/>
      <c r="AP83" s="375"/>
      <c r="AQ83" s="375"/>
      <c r="AR83" s="375"/>
      <c r="AS83" s="375"/>
      <c r="AT83" s="375"/>
      <c r="AU83" s="375"/>
      <c r="AV83" s="374"/>
      <c r="AW83" s="356"/>
      <c r="AX83" s="373" t="s">
        <v>301</v>
      </c>
      <c r="AY83" s="374"/>
      <c r="AZ83" s="356"/>
      <c r="BA83" s="370" t="s">
        <v>2</v>
      </c>
      <c r="BB83" s="371"/>
      <c r="BC83" s="371"/>
      <c r="BD83" s="371"/>
      <c r="BE83" s="371"/>
      <c r="BF83" s="371"/>
      <c r="BG83" s="371"/>
      <c r="BH83" s="371"/>
      <c r="BI83" s="371"/>
      <c r="BJ83" s="371"/>
      <c r="BK83" s="371"/>
      <c r="BL83" s="371"/>
      <c r="BM83" s="372"/>
      <c r="BN83" s="356"/>
      <c r="BO83" s="373" t="s">
        <v>3</v>
      </c>
      <c r="BP83" s="374"/>
      <c r="BQ83" s="356"/>
      <c r="BR83" s="373" t="s">
        <v>148</v>
      </c>
      <c r="BS83" s="375"/>
      <c r="BT83" s="374"/>
      <c r="BU83" s="356"/>
      <c r="BV83" s="373" t="s">
        <v>4</v>
      </c>
      <c r="BW83" s="375"/>
      <c r="BX83" s="375"/>
      <c r="BY83" s="375"/>
      <c r="BZ83" s="375"/>
      <c r="CA83" s="375"/>
      <c r="CB83" s="375"/>
      <c r="CC83" s="375"/>
      <c r="CD83" s="375"/>
      <c r="CE83" s="375"/>
      <c r="CF83" s="375"/>
      <c r="CG83" s="375"/>
      <c r="CH83" s="375"/>
      <c r="CI83" s="375"/>
      <c r="CJ83" s="375"/>
      <c r="CK83" s="375"/>
      <c r="CL83" s="375"/>
      <c r="CM83" s="375"/>
      <c r="CN83" s="375"/>
      <c r="CO83" s="375"/>
      <c r="CP83" s="375"/>
      <c r="CQ83" s="375"/>
      <c r="CR83" s="375"/>
      <c r="CS83" s="375"/>
      <c r="CT83" s="375"/>
      <c r="CU83" s="375"/>
      <c r="CV83" s="375"/>
      <c r="CW83" s="375"/>
      <c r="CX83" s="375"/>
      <c r="CY83" s="375"/>
      <c r="CZ83" s="375"/>
      <c r="DA83" s="375"/>
      <c r="DB83" s="375"/>
      <c r="DC83" s="375"/>
      <c r="DD83" s="375"/>
      <c r="DE83" s="375"/>
      <c r="DF83" s="375"/>
      <c r="DG83" s="375"/>
      <c r="DH83" s="375"/>
      <c r="DI83" s="375"/>
      <c r="DJ83" s="375"/>
      <c r="DK83" s="375"/>
      <c r="DL83" s="375"/>
      <c r="DM83" s="375"/>
      <c r="DN83" s="375"/>
      <c r="DO83" s="375"/>
      <c r="DP83" s="375"/>
      <c r="DQ83" s="375"/>
      <c r="DR83" s="375"/>
      <c r="DS83" s="375"/>
      <c r="DT83" s="375"/>
      <c r="DU83" s="375"/>
      <c r="DV83" s="374"/>
      <c r="DW83" s="356"/>
      <c r="DX83" s="356"/>
      <c r="DY83" s="356"/>
    </row>
    <row r="84" spans="1:129" s="106" customFormat="1" ht="90.75" thickBot="1">
      <c r="A84" s="204" t="s">
        <v>5</v>
      </c>
      <c r="C84" s="199" t="s">
        <v>263</v>
      </c>
      <c r="D84" s="200" t="s">
        <v>264</v>
      </c>
      <c r="E84" s="200" t="s">
        <v>265</v>
      </c>
      <c r="F84" s="200" t="s">
        <v>266</v>
      </c>
      <c r="G84" s="200" t="s">
        <v>267</v>
      </c>
      <c r="H84" s="200" t="s">
        <v>268</v>
      </c>
      <c r="I84" s="200" t="s">
        <v>272</v>
      </c>
      <c r="J84" s="200" t="s">
        <v>269</v>
      </c>
      <c r="K84" s="200" t="s">
        <v>273</v>
      </c>
      <c r="L84" s="200" t="s">
        <v>271</v>
      </c>
      <c r="M84" s="201" t="s">
        <v>261</v>
      </c>
      <c r="N84" s="201" t="s">
        <v>262</v>
      </c>
      <c r="O84" s="200" t="s">
        <v>270</v>
      </c>
      <c r="P84" s="200" t="s">
        <v>6</v>
      </c>
      <c r="Q84" s="200" t="s">
        <v>7</v>
      </c>
      <c r="R84" s="200" t="s">
        <v>8</v>
      </c>
      <c r="S84" s="217" t="s">
        <v>9</v>
      </c>
      <c r="T84" s="200" t="s">
        <v>10</v>
      </c>
      <c r="U84" s="200" t="s">
        <v>189</v>
      </c>
      <c r="V84" s="312" t="s">
        <v>279</v>
      </c>
      <c r="W84" s="200" t="s">
        <v>11</v>
      </c>
      <c r="X84" s="202" t="s">
        <v>12</v>
      </c>
      <c r="Y84" s="118"/>
      <c r="Z84" s="203" t="s">
        <v>290</v>
      </c>
      <c r="AA84" s="271" t="s">
        <v>146</v>
      </c>
      <c r="AB84" s="204"/>
      <c r="AC84" s="203" t="s">
        <v>171</v>
      </c>
      <c r="AD84" s="204" t="s">
        <v>145</v>
      </c>
      <c r="AE84" s="218" t="s">
        <v>147</v>
      </c>
      <c r="AF84" s="118"/>
      <c r="AG84" s="203" t="s">
        <v>13</v>
      </c>
      <c r="AH84" s="204" t="s">
        <v>14</v>
      </c>
      <c r="AI84" s="204" t="s">
        <v>15</v>
      </c>
      <c r="AJ84" s="205" t="s">
        <v>16</v>
      </c>
      <c r="AK84" s="118"/>
      <c r="AL84" s="203" t="s">
        <v>204</v>
      </c>
      <c r="AM84" s="204" t="s">
        <v>159</v>
      </c>
      <c r="AN84" s="218" t="s">
        <v>17</v>
      </c>
      <c r="AO84" s="204" t="s">
        <v>160</v>
      </c>
      <c r="AP84" s="204" t="s">
        <v>161</v>
      </c>
      <c r="AQ84" s="218" t="s">
        <v>18</v>
      </c>
      <c r="AR84" s="204" t="s">
        <v>149</v>
      </c>
      <c r="AS84" s="204" t="s">
        <v>162</v>
      </c>
      <c r="AT84" s="204" t="s">
        <v>163</v>
      </c>
      <c r="AU84" s="204" t="s">
        <v>164</v>
      </c>
      <c r="AV84" s="205" t="s">
        <v>158</v>
      </c>
      <c r="AW84" s="356"/>
      <c r="AX84" s="328" t="s">
        <v>299</v>
      </c>
      <c r="AY84" s="205" t="s">
        <v>300</v>
      </c>
      <c r="AZ84" s="118"/>
      <c r="BA84" s="203" t="s">
        <v>19</v>
      </c>
      <c r="BB84" s="204" t="s">
        <v>20</v>
      </c>
      <c r="BC84" s="204" t="s">
        <v>21</v>
      </c>
      <c r="BD84" s="204" t="s">
        <v>296</v>
      </c>
      <c r="BE84" s="204" t="s">
        <v>199</v>
      </c>
      <c r="BF84" s="204" t="s">
        <v>22</v>
      </c>
      <c r="BG84" s="204" t="s">
        <v>23</v>
      </c>
      <c r="BH84" s="349" t="s">
        <v>308</v>
      </c>
      <c r="BI84" s="204" t="s">
        <v>24</v>
      </c>
      <c r="BJ84" s="299" t="s">
        <v>288</v>
      </c>
      <c r="BK84" s="204" t="s">
        <v>286</v>
      </c>
      <c r="BL84" s="301" t="s">
        <v>287</v>
      </c>
      <c r="BM84" s="205" t="s">
        <v>25</v>
      </c>
      <c r="BN84" s="118"/>
      <c r="BO84" s="203" t="s">
        <v>26</v>
      </c>
      <c r="BP84" s="205" t="s">
        <v>27</v>
      </c>
      <c r="BQ84" s="118"/>
      <c r="BR84" s="203" t="s">
        <v>28</v>
      </c>
      <c r="BS84" s="204" t="s">
        <v>29</v>
      </c>
      <c r="BT84" s="205" t="s">
        <v>30</v>
      </c>
      <c r="BU84" s="118"/>
      <c r="BV84" s="203" t="s">
        <v>31</v>
      </c>
      <c r="BW84" s="204" t="s">
        <v>190</v>
      </c>
      <c r="BX84" s="204" t="s">
        <v>187</v>
      </c>
      <c r="BY84" s="204" t="s">
        <v>223</v>
      </c>
      <c r="BZ84" s="204" t="s">
        <v>233</v>
      </c>
      <c r="CA84" s="204" t="s">
        <v>230</v>
      </c>
      <c r="CB84" s="204" t="s">
        <v>247</v>
      </c>
      <c r="CC84" s="204" t="s">
        <v>306</v>
      </c>
      <c r="CD84" s="204" t="s">
        <v>32</v>
      </c>
      <c r="CE84" s="204" t="s">
        <v>213</v>
      </c>
      <c r="CF84" s="204" t="s">
        <v>33</v>
      </c>
      <c r="CG84" s="204" t="s">
        <v>34</v>
      </c>
      <c r="CH84" s="204" t="s">
        <v>234</v>
      </c>
      <c r="CI84" s="204" t="s">
        <v>35</v>
      </c>
      <c r="CJ84" s="204" t="s">
        <v>36</v>
      </c>
      <c r="CK84" s="204" t="s">
        <v>298</v>
      </c>
      <c r="CL84" s="204" t="s">
        <v>278</v>
      </c>
      <c r="CM84" s="204" t="s">
        <v>37</v>
      </c>
      <c r="CN84" s="204" t="s">
        <v>226</v>
      </c>
      <c r="CO84" s="204" t="s">
        <v>38</v>
      </c>
      <c r="CP84" s="204" t="s">
        <v>295</v>
      </c>
      <c r="CQ84" s="204" t="s">
        <v>231</v>
      </c>
      <c r="CR84" s="204" t="s">
        <v>307</v>
      </c>
      <c r="CS84" s="204" t="s">
        <v>39</v>
      </c>
      <c r="CT84" s="204" t="s">
        <v>40</v>
      </c>
      <c r="CU84" s="204" t="s">
        <v>41</v>
      </c>
      <c r="CV84" s="204" t="s">
        <v>42</v>
      </c>
      <c r="CW84" s="204" t="s">
        <v>248</v>
      </c>
      <c r="CX84" s="204" t="s">
        <v>252</v>
      </c>
      <c r="CY84" s="204" t="s">
        <v>188</v>
      </c>
      <c r="CZ84" s="204" t="s">
        <v>229</v>
      </c>
      <c r="DA84" s="204" t="s">
        <v>225</v>
      </c>
      <c r="DB84" s="204" t="s">
        <v>43</v>
      </c>
      <c r="DC84" s="204" t="s">
        <v>227</v>
      </c>
      <c r="DD84" s="204" t="s">
        <v>232</v>
      </c>
      <c r="DE84" s="204" t="s">
        <v>224</v>
      </c>
      <c r="DF84" s="204" t="s">
        <v>228</v>
      </c>
      <c r="DG84" s="204" t="s">
        <v>44</v>
      </c>
      <c r="DH84" s="204" t="s">
        <v>45</v>
      </c>
      <c r="DI84" s="204" t="s">
        <v>46</v>
      </c>
      <c r="DJ84" s="204" t="s">
        <v>185</v>
      </c>
      <c r="DK84" s="204" t="s">
        <v>277</v>
      </c>
      <c r="DL84" s="204" t="s">
        <v>236</v>
      </c>
      <c r="DM84" s="204" t="s">
        <v>47</v>
      </c>
      <c r="DN84" s="204" t="s">
        <v>219</v>
      </c>
      <c r="DO84" s="204" t="s">
        <v>48</v>
      </c>
      <c r="DP84" s="204" t="s">
        <v>249</v>
      </c>
      <c r="DQ84" s="204" t="s">
        <v>235</v>
      </c>
      <c r="DR84" s="204" t="s">
        <v>297</v>
      </c>
      <c r="DS84" s="204" t="s">
        <v>186</v>
      </c>
      <c r="DT84" s="204" t="s">
        <v>200</v>
      </c>
      <c r="DU84" s="204" t="s">
        <v>191</v>
      </c>
      <c r="DV84" s="205" t="s">
        <v>49</v>
      </c>
      <c r="DW84" s="106" t="s">
        <v>50</v>
      </c>
      <c r="DX84" s="118"/>
    </row>
    <row r="85" spans="1:129" s="111" customFormat="1">
      <c r="A85" s="228">
        <v>1988</v>
      </c>
      <c r="B85" s="24"/>
      <c r="C85" s="121">
        <f>ROUND(IF(ISERROR(DAVERAGE(_xlnm.Database,FILESTAT!C$3,bfy1988_)),0,DAVERAGE(_xlnm.Database,FILESTAT!C$3,bfy1988_)),0)</f>
        <v>7</v>
      </c>
      <c r="D85" s="122">
        <f>ROUND(IF(ISERROR(DAVERAGE(_xlnm.Database,FILESTAT!D$3,bfy1988_)),0,DAVERAGE(_xlnm.Database,FILESTAT!D$3,bfy1988_)),0)</f>
        <v>13</v>
      </c>
      <c r="E85" s="122">
        <f>ROUND(IF(ISERROR(DAVERAGE(_xlnm.Database,FILESTAT!E$3,bfy1988_)),0,DAVERAGE(_xlnm.Database,FILESTAT!E$3,bfy1988_)),0)</f>
        <v>1</v>
      </c>
      <c r="F85" s="122">
        <f>ROUND(IF(ISERROR(DAVERAGE(_xlnm.Database,FILESTAT!F$3,bfy1988_)),0,DAVERAGE(_xlnm.Database,FILESTAT!F$3,bfy1988_)),0)</f>
        <v>2</v>
      </c>
      <c r="G85" s="122">
        <f>ROUND(IF(ISERROR(DAVERAGE(_xlnm.Database,FILESTAT!G$3,bfy1988_)),0,DAVERAGE(_xlnm.Database,FILESTAT!G$3,bfy1988_)),0)</f>
        <v>1</v>
      </c>
      <c r="H85" s="122">
        <f>ROUND(IF(ISERROR(DAVERAGE(_xlnm.Database,FILESTAT!H$3,bfy1988_)),0,DAVERAGE(_xlnm.Database,FILESTAT!H$3,bfy1988_)),0)</f>
        <v>2</v>
      </c>
      <c r="I85" s="122">
        <f>ROUND(IF(ISERROR(DAVERAGE(_xlnm.Database,FILESTAT!I$3,bfy1988_)),0,DAVERAGE(_xlnm.Database,FILESTAT!I$3,bfy1988_)),0)</f>
        <v>0</v>
      </c>
      <c r="J85" s="122">
        <f>ROUND(IF(ISERROR(DAVERAGE(_xlnm.Database,FILESTAT!J$3,bfy1988_)),0,DAVERAGE(_xlnm.Database,FILESTAT!J$3,bfy1988_)),0)</f>
        <v>0</v>
      </c>
      <c r="K85" s="122">
        <f>ROUND(IF(ISERROR(DAVERAGE(_xlnm.Database,FILESTAT!K$3,bfy1988_)),0,DAVERAGE(_xlnm.Database,FILESTAT!K$3,bfy1988_)),0)</f>
        <v>0</v>
      </c>
      <c r="L85" s="122">
        <f>ROUND(IF(ISERROR(DAVERAGE(_xlnm.Database,FILESTAT!L$3,bfy1988_)),0,DAVERAGE(_xlnm.Database,FILESTAT!L$3,bfy1988_)),0)</f>
        <v>0</v>
      </c>
      <c r="M85" s="122">
        <f>ROUND(IF(ISERROR(DAVERAGE(_xlnm.Database,FILESTAT!M$3,bfy1988_)),0,DAVERAGE(_xlnm.Database,FILESTAT!M$3,bfy1988_)),0)</f>
        <v>0</v>
      </c>
      <c r="N85" s="122">
        <f>ROUND(IF(ISERROR(DAVERAGE(_xlnm.Database,FILESTAT!N$3,bfy1988_)),0,DAVERAGE(_xlnm.Database,FILESTAT!N$3,bfy1988_)),0)</f>
        <v>0</v>
      </c>
      <c r="O85" s="122">
        <f>ROUND(IF(ISERROR(DAVERAGE(_xlnm.Database,FILESTAT!O$3,bfy1988_)),0,DAVERAGE(_xlnm.Database,FILESTAT!O$3,bfy1988_)),0)</f>
        <v>3</v>
      </c>
      <c r="P85" s="122">
        <f>ROUND(IF(ISERROR(DAVERAGE(_xlnm.Database,FILESTAT!P$3,bfy1988_)),0,DAVERAGE(_xlnm.Database,FILESTAT!P$3,bfy1988_)),0)</f>
        <v>0</v>
      </c>
      <c r="Q85" s="122">
        <f>ROUND(IF(ISERROR(DAVERAGE(_xlnm.Database,FILESTAT!Q$3,bfy1988_)),0,DAVERAGE(_xlnm.Database,FILESTAT!Q$3,bfy1988_)),0)</f>
        <v>0</v>
      </c>
      <c r="R85" s="122">
        <f>ROUND(IF(ISERROR(DAVERAGE(_xlnm.Database,FILESTAT!R$3,bfy1988_)),0,DAVERAGE(_xlnm.Database,FILESTAT!R$3,bfy1988_)),0)</f>
        <v>0</v>
      </c>
      <c r="S85" s="120">
        <f>SUM(C85:R85)</f>
        <v>29</v>
      </c>
      <c r="T85" s="122">
        <f>ROUND(IF(ISERROR(DAVERAGE(_xlnm.Database,FILESTAT!T$3,bfy1988_)),0,DAVERAGE(_xlnm.Database,FILESTAT!T$3,bfy1988_)),0)</f>
        <v>0</v>
      </c>
      <c r="U85" s="122">
        <f>ROUND(IF(ISERROR(DAVERAGE(_xlnm.Database,FILESTAT!U$3,bfy1988_)),0,DAVERAGE(_xlnm.Database,FILESTAT!U$3,bfy1988_)),0)</f>
        <v>0</v>
      </c>
      <c r="V85" s="122"/>
      <c r="W85" s="122">
        <f>ROUND(IF(ISERROR(DAVERAGE(_xlnm.Database,FILESTAT!W$3,bfy1988_)),0,DAVERAGE(_xlnm.Database,FILESTAT!W$3,bfy1988_)),0)</f>
        <v>0</v>
      </c>
      <c r="X85" s="123">
        <f>ROUND(IF(ISERROR(DAVERAGE(_xlnm.Database,FILESTAT!X$3,bfy1988_)),0,DAVERAGE(_xlnm.Database,FILESTAT!X$3,bfy1988_)),0)</f>
        <v>0</v>
      </c>
      <c r="Z85" s="121">
        <f>ROUND(IF(ISERROR(DAVERAGE(_xlnm.Database,FILESTAT!Z$3,bfy1988_)),0,DAVERAGE(_xlnm.Database,FILESTAT!Z$3,bfy1988_)),0)</f>
        <v>0</v>
      </c>
      <c r="AA85" s="122">
        <f>ROUND(IF(ISERROR(DAVERAGE(_xlnm.Database,FILESTAT!AA$3,bfy1988_)),0,DAVERAGE(_xlnm.Database,FILESTAT!AA$3,bfy1988_)),0)</f>
        <v>0</v>
      </c>
      <c r="AB85" s="122"/>
      <c r="AC85" s="158">
        <f>ROUND(IF(ISERROR(DAVERAGE(_xlnm.Database,FILESTAT!AC$3,bfy1988_)),0,DAVERAGE(_xlnm.Database,FILESTAT!AC$3,bfy1988_)),0)</f>
        <v>0</v>
      </c>
      <c r="AD85" s="122">
        <f>ROUND(IF(ISERROR(DAVERAGE(_xlnm.Database,FILESTAT!AD$3,bfy1988_)),0,DAVERAGE(_xlnm.Database,FILESTAT!AD$3,bfy1988_)),0)</f>
        <v>0</v>
      </c>
      <c r="AE85" s="120"/>
      <c r="AG85" s="121">
        <f>ROUND(IF(ISERROR(DAVERAGE(_xlnm.Database,FILESTAT!AG$3,bfy1988_)),0,DAVERAGE(_xlnm.Database,FILESTAT!AG$3,bfy1988_)),0)</f>
        <v>68</v>
      </c>
      <c r="AH85" s="122">
        <f>ROUND(IF(ISERROR(DAVERAGE(_xlnm.Database,FILESTAT!AH$3,bfy1988_)),0,DAVERAGE(_xlnm.Database,FILESTAT!AH$3,bfy1988_)),0)</f>
        <v>19</v>
      </c>
      <c r="AI85" s="122">
        <f>ROUND(IF(ISERROR(DAVERAGE(_xlnm.Database,FILESTAT!AI$3,bfy1988_)),0,DAVERAGE(_xlnm.Database,FILESTAT!AI$3,bfy1988_)),0)</f>
        <v>135</v>
      </c>
      <c r="AJ85" s="123">
        <f>ROUND(IF(ISERROR(DAVERAGE(_xlnm.Database,FILESTAT!AJ$3,bfy1988_)),0,DAVERAGE(_xlnm.Database,FILESTAT!AJ$3,bfy1988_)),0)</f>
        <v>16</v>
      </c>
      <c r="AL85" s="121">
        <f>ROUND(IF(ISERROR(DAVERAGE(_xlnm.Database,FILESTAT!AL$3,bfy1988_)),0,DAVERAGE(_xlnm.Database,FILESTAT!AL$3,bfy1988_)),0)</f>
        <v>0</v>
      </c>
      <c r="AM85" s="122">
        <f>ROUND(IF(ISERROR(DAVERAGE(_xlnm.Database,FILESTAT!AM$3,bfy1988_)),0,DAVERAGE(_xlnm.Database,FILESTAT!AM$3,bfy1988_)),0)</f>
        <v>0</v>
      </c>
      <c r="AN85" s="120">
        <f>SUM(AL85:AM85)</f>
        <v>0</v>
      </c>
      <c r="AO85" s="122">
        <f>ROUND(IF(ISERROR(DAVERAGE(_xlnm.Database,FILESTAT!AO$3,bfy1988_)),0,DAVERAGE(_xlnm.Database,FILESTAT!AO$3,bfy1988_)),0)</f>
        <v>0</v>
      </c>
      <c r="AP85" s="122">
        <f>ROUND(IF(ISERROR(DAVERAGE(_xlnm.Database,FILESTAT!AP$3,bfy1988_)),0,DAVERAGE(_xlnm.Database,FILESTAT!AP$3,bfy1988_)),0)</f>
        <v>0</v>
      </c>
      <c r="AQ85" s="120">
        <f>SUM(AO85:AP85)</f>
        <v>0</v>
      </c>
      <c r="AR85" s="122">
        <f>ROUND(IF(ISERROR(DAVERAGE(_xlnm.Database,FILESTAT!AR$3,bfy1988_)),0,DAVERAGE(_xlnm.Database,FILESTAT!AR$3,bfy1988_)),0)</f>
        <v>0</v>
      </c>
      <c r="AS85" s="122">
        <f>ROUND(IF(ISERROR(DAVERAGE(_xlnm.Database,FILESTAT!AS$3,bfy1988_)),0,DAVERAGE(_xlnm.Database,FILESTAT!AS$3,bfy1988_)),0)</f>
        <v>0</v>
      </c>
      <c r="AT85" s="122">
        <f>ROUND(IF(ISERROR(DAVERAGE(_xlnm.Database,FILESTAT!AT$3,bfy1988_)),0,DAVERAGE(_xlnm.Database,FILESTAT!AT$3,bfy1988_)),0)</f>
        <v>0</v>
      </c>
      <c r="AU85" s="122">
        <f>ROUND(IF(ISERROR(DAVERAGE(_xlnm.Database,FILESTAT!AU$3,bfy1988_)),0,DAVERAGE(_xlnm.Database,FILESTAT!AU$3,bfy1988_)),0)</f>
        <v>0</v>
      </c>
      <c r="AV85" s="123">
        <f>ROUND(IF(ISERROR(DAVERAGE(_xlnm.Database,FILESTAT!AV$3,bfy1988_)),0,DAVERAGE(_xlnm.Database,FILESTAT!AV$3,bfy1988_)),0)</f>
        <v>0</v>
      </c>
      <c r="AW85"/>
      <c r="AX85" s="356"/>
      <c r="AY85"/>
      <c r="BA85" s="121">
        <f>ROUND(IF(ISERROR(DAVERAGE(_xlnm.Database,FILESTAT!BA$3,bfy1988_)),0,DAVERAGE(_xlnm.Database,FILESTAT!BA$3,bfy1988_)),0)</f>
        <v>1446</v>
      </c>
      <c r="BB85" s="122">
        <f>ROUND(IF(ISERROR(DAVERAGE(_xlnm.Database,FILESTAT!BB$3,bfy1988_)),0,DAVERAGE(_xlnm.Database,FILESTAT!BB$3,bfy1988_)),0)</f>
        <v>0</v>
      </c>
      <c r="BC85" s="122">
        <f>ROUND(IF(ISERROR(DAVERAGE(_xlnm.Database,FILESTAT!BC$3,bfy1988_)),0,DAVERAGE(_xlnm.Database,FILESTAT!BC$3,bfy1988_)),0)</f>
        <v>0</v>
      </c>
      <c r="BD85" s="122"/>
      <c r="BE85" s="122">
        <f>ROUND(IF(ISERROR(DAVERAGE(_xlnm.Database,FILESTAT!BE$3,bfy1988_)),0,DAVERAGE(_xlnm.Database,FILESTAT!BE$3,bfy1988_)),0)</f>
        <v>0</v>
      </c>
      <c r="BF85" s="122">
        <f>ROUND(IF(ISERROR(DAVERAGE(_xlnm.Database,FILESTAT!BF$3,bfy1988_)),0,DAVERAGE(_xlnm.Database,FILESTAT!BF$3,bfy1988_)),0)</f>
        <v>0</v>
      </c>
      <c r="BG85" s="122">
        <f>ROUND(IF(ISERROR(DAVERAGE(_xlnm.Database,FILESTAT!BG$3,bfy1988_)),0,DAVERAGE(_xlnm.Database,FILESTAT!BG$3,bfy1988_)),0)</f>
        <v>0</v>
      </c>
      <c r="BH85" s="122"/>
      <c r="BI85" s="122">
        <f>ROUND(IF(ISERROR(DAVERAGE(_xlnm.Database,FILESTAT!BI$3,bfy1988_)),0,DAVERAGE(_xlnm.Database,FILESTAT!BI$3,bfy1988_)),0)</f>
        <v>0</v>
      </c>
      <c r="BJ85" s="122"/>
      <c r="BK85" s="122"/>
      <c r="BL85" s="122"/>
      <c r="BM85" s="123">
        <f>ROUND(IF(ISERROR(DAVERAGE(_xlnm.Database,FILESTAT!BM$3,bfy1988_)),0,DAVERAGE(_xlnm.Database,FILESTAT!BM$3,bfy1988_)),0)</f>
        <v>3613</v>
      </c>
      <c r="BO85" s="121">
        <f>ROUND(IF(ISERROR(DAVERAGE(_xlnm.Database,FILESTAT!BO$3,bfy1988_)),0,DAVERAGE(_xlnm.Database,FILESTAT!BO$3,bfy1988_)),0)</f>
        <v>0</v>
      </c>
      <c r="BP85" s="123">
        <f>ROUND(IF(ISERROR(DAVERAGE(_xlnm.Database,FILESTAT!BP$3,bfy1988_)),0,DAVERAGE(_xlnm.Database,FILESTAT!BP$3,bfy1988_)),0)</f>
        <v>0</v>
      </c>
      <c r="BR85" s="250"/>
      <c r="BS85" s="178"/>
      <c r="BT85" s="251"/>
      <c r="BV85" s="121">
        <f>ROUND(IF(ISERROR(DAVERAGE(_xlnm.Database,FILESTAT!BV$3,bfy1988_)),0,DAVERAGE(_xlnm.Database,FILESTAT!BV$3,bfy1988_)),0)</f>
        <v>0</v>
      </c>
      <c r="BW85" s="122">
        <f>ROUND(IF(ISERROR(DAVERAGE(_xlnm.Database,FILESTAT!BW$3,bfy1988_)),0,DAVERAGE(_xlnm.Database,FILESTAT!BW$3,bfy1988_)),0)</f>
        <v>0</v>
      </c>
      <c r="BX85" s="122">
        <f>ROUND(IF(ISERROR(DAVERAGE(_xlnm.Database,FILESTAT!BX$3,bfy1988_)),0,DAVERAGE(_xlnm.Database,FILESTAT!BX$3,bfy1988_)),0)</f>
        <v>0</v>
      </c>
      <c r="BY85" s="122">
        <f>ROUND(IF(ISERROR(DAVERAGE(_xlnm.Database,FILESTAT!BY$3,bfy1988_)),0,DAVERAGE(_xlnm.Database,FILESTAT!BY$3,bfy1988_)),0)</f>
        <v>0</v>
      </c>
      <c r="BZ85" s="122">
        <f>ROUND(IF(ISERROR(DAVERAGE(_xlnm.Database,FILESTAT!BZ$3,bfy1988_)),0,DAVERAGE(_xlnm.Database,FILESTAT!BZ$3,bfy1988_)),0)</f>
        <v>0</v>
      </c>
      <c r="CA85" s="122">
        <f>ROUND(IF(ISERROR(DAVERAGE(_xlnm.Database,FILESTAT!CA$3,bfy1988_)),0,DAVERAGE(_xlnm.Database,FILESTAT!CA$3,bfy1988_)),0)</f>
        <v>0</v>
      </c>
      <c r="CB85" s="122">
        <f>ROUND(IF(ISERROR(DAVERAGE(_xlnm.Database,FILESTAT!CB$3,bfy1988_)),0,DAVERAGE(_xlnm.Database,FILESTAT!CB$3,bfy1988_)),0)</f>
        <v>0</v>
      </c>
      <c r="CC85" s="122"/>
      <c r="CD85" s="122">
        <f>ROUND(IF(ISERROR(DAVERAGE(_xlnm.Database,FILESTAT!CD$3,bfy1988_)),0,DAVERAGE(_xlnm.Database,FILESTAT!CD$3,bfy1988_)),0)</f>
        <v>0</v>
      </c>
      <c r="CE85" s="122">
        <f>ROUND(IF(ISERROR(DAVERAGE(_xlnm.Database,FILESTAT!CE$3,bfy1988_)),0,DAVERAGE(_xlnm.Database,FILESTAT!CE$3,bfy1988_)),0)</f>
        <v>0</v>
      </c>
      <c r="CF85" s="122">
        <f>ROUND(IF(ISERROR(DAVERAGE(_xlnm.Database,FILESTAT!CF$3,bfy1988_)),0,DAVERAGE(_xlnm.Database,FILESTAT!CF$3,bfy1988_)),0)</f>
        <v>0</v>
      </c>
      <c r="CG85" s="122">
        <f>ROUND(IF(ISERROR(DAVERAGE(_xlnm.Database,FILESTAT!CG$3,bfy1988_)),0,DAVERAGE(_xlnm.Database,FILESTAT!CG$3,bfy1988_)),0)</f>
        <v>0</v>
      </c>
      <c r="CH85" s="122">
        <f>ROUND(IF(ISERROR(DAVERAGE(_xlnm.Database,FILESTAT!CH$3,bfy1988_)),0,DAVERAGE(_xlnm.Database,FILESTAT!CH$3,bfy1988_)),0)</f>
        <v>0</v>
      </c>
      <c r="CI85" s="122">
        <f>ROUND(IF(ISERROR(DAVERAGE(_xlnm.Database,FILESTAT!CI$3,bfy1988_)),0,DAVERAGE(_xlnm.Database,FILESTAT!CI$3,bfy1988_)),0)</f>
        <v>0</v>
      </c>
      <c r="CJ85" s="122">
        <f>ROUND(IF(ISERROR(DAVERAGE(_xlnm.Database,FILESTAT!CJ$3,bfy1988_)),0,DAVERAGE(_xlnm.Database,FILESTAT!CJ$3,bfy1988_)),0)</f>
        <v>0</v>
      </c>
      <c r="CK85" s="122"/>
      <c r="CL85" s="122"/>
      <c r="CM85" s="122">
        <f>ROUND(IF(ISERROR(DAVERAGE(_xlnm.Database,FILESTAT!CM$3,bfy1988_)),0,DAVERAGE(_xlnm.Database,FILESTAT!CM$3,bfy1988_)),0)</f>
        <v>0</v>
      </c>
      <c r="CN85" s="122">
        <f>ROUND(IF(ISERROR(DAVERAGE(_xlnm.Database,FILESTAT!CN$3,bfy1988_)),0,DAVERAGE(_xlnm.Database,FILESTAT!CN$3,bfy1988_)),0)</f>
        <v>0</v>
      </c>
      <c r="CO85" s="122">
        <f>ROUND(IF(ISERROR(DAVERAGE(_xlnm.Database,FILESTAT!CO$3,bfy1988_)),0,DAVERAGE(_xlnm.Database,FILESTAT!CO$3,bfy1988_)),0)</f>
        <v>0</v>
      </c>
      <c r="CP85" s="122"/>
      <c r="CQ85" s="122">
        <f>ROUND(IF(ISERROR(DAVERAGE(_xlnm.Database,FILESTAT!CQ$3,bfy1988_)),0,DAVERAGE(_xlnm.Database,FILESTAT!CQ$3,bfy1988_)),0)</f>
        <v>0</v>
      </c>
      <c r="CR85" s="122"/>
      <c r="CS85" s="122">
        <f>ROUND(IF(ISERROR(DAVERAGE(_xlnm.Database,FILESTAT!CS$3,bfy1988_)),0,DAVERAGE(_xlnm.Database,FILESTAT!CS$3,bfy1988_)),0)</f>
        <v>0</v>
      </c>
      <c r="CT85" s="122">
        <f>ROUND(IF(ISERROR(DAVERAGE(_xlnm.Database,FILESTAT!CT$3,bfy1988_)),0,DAVERAGE(_xlnm.Database,FILESTAT!CT$3,bfy1988_)),0)</f>
        <v>0</v>
      </c>
      <c r="CU85" s="122">
        <f>ROUND(IF(ISERROR(DAVERAGE(_xlnm.Database,FILESTAT!CU$3,bfy1988_)),0,DAVERAGE(_xlnm.Database,FILESTAT!CU$3,bfy1988_)),0)</f>
        <v>0</v>
      </c>
      <c r="CV85" s="122">
        <f>ROUND(IF(ISERROR(DAVERAGE(_xlnm.Database,FILESTAT!CV$3,bfy1988_)),0,DAVERAGE(_xlnm.Database,FILESTAT!CV$3,bfy1988_)),0)</f>
        <v>0</v>
      </c>
      <c r="CW85" s="122">
        <f>ROUND(IF(ISERROR(DAVERAGE(_xlnm.Database,FILESTAT!CW$3,bfy1988_)),0,DAVERAGE(_xlnm.Database,FILESTAT!CW$3,bfy1988_)),0)</f>
        <v>0</v>
      </c>
      <c r="CX85" s="122"/>
      <c r="CY85" s="122">
        <f>ROUND(IF(ISERROR(DAVERAGE(_xlnm.Database,FILESTAT!CY$3,bfy1988_)),0,DAVERAGE(_xlnm.Database,FILESTAT!CY$3,bfy1988_)),0)</f>
        <v>0</v>
      </c>
      <c r="CZ85" s="122">
        <f>ROUND(IF(ISERROR(DAVERAGE(_xlnm.Database,FILESTAT!CZ$3,bfy1988_)),0,DAVERAGE(_xlnm.Database,FILESTAT!CZ$3,bfy1988_)),0)</f>
        <v>0</v>
      </c>
      <c r="DA85" s="122">
        <f>ROUND(IF(ISERROR(DAVERAGE(_xlnm.Database,FILESTAT!DA$3,bfy1988_)),0,DAVERAGE(_xlnm.Database,FILESTAT!DA$3,bfy1988_)),0)</f>
        <v>0</v>
      </c>
      <c r="DB85" s="122">
        <f>ROUND(IF(ISERROR(DAVERAGE(_xlnm.Database,FILESTAT!DB$3,bfy1988_)),0,DAVERAGE(_xlnm.Database,FILESTAT!DB$3,bfy1988_)),0)</f>
        <v>0</v>
      </c>
      <c r="DC85" s="122">
        <f>ROUND(IF(ISERROR(DAVERAGE(_xlnm.Database,FILESTAT!DC$3,bfy1988_)),0,DAVERAGE(_xlnm.Database,FILESTAT!DC$3,bfy1988_)),0)</f>
        <v>0</v>
      </c>
      <c r="DD85" s="122">
        <f>ROUND(IF(ISERROR(DAVERAGE(_xlnm.Database,FILESTAT!DD$3,bfy1988_)),0,DAVERAGE(_xlnm.Database,FILESTAT!DD$3,bfy1988_)),0)</f>
        <v>0</v>
      </c>
      <c r="DE85" s="122">
        <f>ROUND(IF(ISERROR(DAVERAGE(_xlnm.Database,FILESTAT!DE$3,bfy1988_)),0,DAVERAGE(_xlnm.Database,FILESTAT!DE$3,bfy1988_)),0)</f>
        <v>0</v>
      </c>
      <c r="DF85" s="122">
        <f>ROUND(IF(ISERROR(DAVERAGE(_xlnm.Database,FILESTAT!DF$3,bfy1988_)),0,DAVERAGE(_xlnm.Database,FILESTAT!DF$3,bfy1988_)),0)</f>
        <v>0</v>
      </c>
      <c r="DG85" s="122">
        <f>ROUND(IF(ISERROR(DAVERAGE(_xlnm.Database,FILESTAT!DG$3,bfy1988_)),0,DAVERAGE(_xlnm.Database,FILESTAT!DG$3,bfy1988_)),0)</f>
        <v>0</v>
      </c>
      <c r="DH85" s="122">
        <f>ROUND(IF(ISERROR(DAVERAGE(_xlnm.Database,FILESTAT!DH$3,bfy1988_)),0,DAVERAGE(_xlnm.Database,FILESTAT!DH$3,bfy1988_)),0)</f>
        <v>0</v>
      </c>
      <c r="DI85" s="122">
        <f>ROUND(IF(ISERROR(DAVERAGE(_xlnm.Database,FILESTAT!DI$3,bfy1988_)),0,DAVERAGE(_xlnm.Database,FILESTAT!DI$3,bfy1988_)),0)</f>
        <v>0</v>
      </c>
      <c r="DJ85" s="122">
        <f>ROUND(IF(ISERROR(DAVERAGE(_xlnm.Database,FILESTAT!DJ$3,bfy1988_)),0,DAVERAGE(_xlnm.Database,FILESTAT!DJ$3,bfy1988_)),0)</f>
        <v>0</v>
      </c>
      <c r="DK85" s="122"/>
      <c r="DL85" s="122">
        <f>ROUND(IF(ISERROR(DAVERAGE(_xlnm.Database,FILESTAT!DL$3,bfy1988_)),0,DAVERAGE(_xlnm.Database,FILESTAT!DL$3,bfy1988_)),0)</f>
        <v>0</v>
      </c>
      <c r="DM85" s="122">
        <f>ROUND(IF(ISERROR(DAVERAGE(_xlnm.Database,FILESTAT!DM$3,bfy1988_)),0,DAVERAGE(_xlnm.Database,FILESTAT!DM$3,bfy1988_)),0)</f>
        <v>0</v>
      </c>
      <c r="DN85" s="122">
        <f>ROUND(IF(ISERROR(DAVERAGE(_xlnm.Database,FILESTAT!DN$3,bfy1988_)),0,DAVERAGE(_xlnm.Database,FILESTAT!DN$3,bfy1988_)),0)</f>
        <v>0</v>
      </c>
      <c r="DO85" s="122">
        <f>ROUND(IF(ISERROR(DAVERAGE(_xlnm.Database,FILESTAT!DO$3,bfy1988_)),0,DAVERAGE(_xlnm.Database,FILESTAT!DO$3,bfy1988_)),0)</f>
        <v>0</v>
      </c>
      <c r="DP85" s="122">
        <f>ROUND(IF(ISERROR(DAVERAGE(_xlnm.Database,FILESTAT!DP$3,bfy1988_)),0,DAVERAGE(_xlnm.Database,FILESTAT!DP$3,bfy1988_)),0)</f>
        <v>0</v>
      </c>
      <c r="DQ85" s="122">
        <f>ROUND(IF(ISERROR(DAVERAGE(_xlnm.Database,FILESTAT!DQ$3,bfy1988_)),0,DAVERAGE(_xlnm.Database,FILESTAT!DQ$3,bfy1988_)),0)</f>
        <v>0</v>
      </c>
      <c r="DR85" s="122"/>
      <c r="DS85" s="122">
        <f>ROUND(IF(ISERROR(DAVERAGE(_xlnm.Database,FILESTAT!DS$3,bfy1988_)),0,DAVERAGE(_xlnm.Database,FILESTAT!DS$3,bfy1988_)),0)</f>
        <v>0</v>
      </c>
      <c r="DT85" s="122">
        <f>ROUND(IF(ISERROR(DAVERAGE(_xlnm.Database,FILESTAT!DT$3,bfy1988_)),0,DAVERAGE(_xlnm.Database,FILESTAT!DT$3,bfy1988_)),0)</f>
        <v>0</v>
      </c>
      <c r="DU85" s="122">
        <f>ROUND(IF(ISERROR(DAVERAGE(_xlnm.Database,FILESTAT!DU$3,bfy1988_)),0,DAVERAGE(_xlnm.Database,FILESTAT!DU$3,bfy1988_)),0)</f>
        <v>0</v>
      </c>
      <c r="DV85" s="127">
        <f>SUM(BV85:DU85)</f>
        <v>0</v>
      </c>
      <c r="DW85" s="128"/>
    </row>
    <row r="86" spans="1:129" s="111" customFormat="1">
      <c r="A86" s="228">
        <v>1989</v>
      </c>
      <c r="B86" s="24"/>
      <c r="C86" s="121">
        <f>ROUND(IF(ISERROR(DAVERAGE(_xlnm.Database,FILESTAT!C$3,bfy1989_)),0,DAVERAGE(_xlnm.Database,FILESTAT!C$3,bfy1989_)),0)</f>
        <v>6</v>
      </c>
      <c r="D86" s="122">
        <f>ROUND(IF(ISERROR(DAVERAGE(_xlnm.Database,FILESTAT!D$3,bfy1989_)),0,DAVERAGE(_xlnm.Database,FILESTAT!D$3,bfy1989_)),0)</f>
        <v>16</v>
      </c>
      <c r="E86" s="122">
        <f>ROUND(IF(ISERROR(DAVERAGE(_xlnm.Database,FILESTAT!E$3,bfy1989_)),0,DAVERAGE(_xlnm.Database,FILESTAT!E$3,bfy1989_)),0)</f>
        <v>2</v>
      </c>
      <c r="F86" s="122">
        <f>ROUND(IF(ISERROR(DAVERAGE(_xlnm.Database,FILESTAT!F$3,bfy1989_)),0,DAVERAGE(_xlnm.Database,FILESTAT!F$3,bfy1989_)),0)</f>
        <v>1</v>
      </c>
      <c r="G86" s="122">
        <f>ROUND(IF(ISERROR(DAVERAGE(_xlnm.Database,FILESTAT!G$3,bfy1989_)),0,DAVERAGE(_xlnm.Database,FILESTAT!G$3,bfy1989_)),0)</f>
        <v>1</v>
      </c>
      <c r="H86" s="122">
        <f>ROUND(IF(ISERROR(DAVERAGE(_xlnm.Database,FILESTAT!H$3,bfy1989_)),0,DAVERAGE(_xlnm.Database,FILESTAT!H$3,bfy1989_)),0)</f>
        <v>2</v>
      </c>
      <c r="I86" s="122">
        <f>ROUND(IF(ISERROR(DAVERAGE(_xlnm.Database,FILESTAT!I$3,bfy1989_)),0,DAVERAGE(_xlnm.Database,FILESTAT!I$3,bfy1989_)),0)</f>
        <v>0</v>
      </c>
      <c r="J86" s="122">
        <f>ROUND(IF(ISERROR(DAVERAGE(_xlnm.Database,FILESTAT!J$3,bfy1989_)),0,DAVERAGE(_xlnm.Database,FILESTAT!J$3,bfy1989_)),0)</f>
        <v>0</v>
      </c>
      <c r="K86" s="122">
        <f>ROUND(IF(ISERROR(DAVERAGE(_xlnm.Database,FILESTAT!K$3,bfy1989_)),0,DAVERAGE(_xlnm.Database,FILESTAT!K$3,bfy1989_)),0)</f>
        <v>0</v>
      </c>
      <c r="L86" s="122">
        <f>ROUND(IF(ISERROR(DAVERAGE(_xlnm.Database,FILESTAT!L$3,bfy1989_)),0,DAVERAGE(_xlnm.Database,FILESTAT!L$3,bfy1989_)),0)</f>
        <v>0</v>
      </c>
      <c r="M86" s="122">
        <f>ROUND(IF(ISERROR(DAVERAGE(_xlnm.Database,FILESTAT!M$3,bfy1989_)),0,DAVERAGE(_xlnm.Database,FILESTAT!M$3,bfy1989_)),0)</f>
        <v>0</v>
      </c>
      <c r="N86" s="122">
        <f>ROUND(IF(ISERROR(DAVERAGE(_xlnm.Database,FILESTAT!N$3,bfy1989_)),0,DAVERAGE(_xlnm.Database,FILESTAT!N$3,bfy1989_)),0)</f>
        <v>0</v>
      </c>
      <c r="O86" s="122">
        <f>ROUND(IF(ISERROR(DAVERAGE(_xlnm.Database,FILESTAT!O$3,bfy1989_)),0,DAVERAGE(_xlnm.Database,FILESTAT!O$3,bfy1989_)),0)</f>
        <v>7</v>
      </c>
      <c r="P86" s="122">
        <f>ROUND(IF(ISERROR(DAVERAGE(_xlnm.Database,FILESTAT!P$3,bfy1989_)),0,DAVERAGE(_xlnm.Database,FILESTAT!P$3,bfy1989_)),0)</f>
        <v>0</v>
      </c>
      <c r="Q86" s="122">
        <f>ROUND(IF(ISERROR(DAVERAGE(_xlnm.Database,FILESTAT!Q$3,bfy1989_)),0,DAVERAGE(_xlnm.Database,FILESTAT!Q$3,bfy1989_)),0)</f>
        <v>0</v>
      </c>
      <c r="R86" s="122">
        <f>ROUND(IF(ISERROR(DAVERAGE(_xlnm.Database,FILESTAT!R$3,bfy1989_)),0,DAVERAGE(_xlnm.Database,FILESTAT!R$3,bfy1989_)),0)</f>
        <v>0</v>
      </c>
      <c r="S86" s="120">
        <f>SUM(C86:R86)</f>
        <v>35</v>
      </c>
      <c r="T86" s="122">
        <f>ROUND(IF(ISERROR(DAVERAGE(_xlnm.Database,FILESTAT!T$3,bfy1989_)),0,DAVERAGE(_xlnm.Database,FILESTAT!T$3,bfy1989_)),0)</f>
        <v>0</v>
      </c>
      <c r="U86" s="122">
        <f>ROUND(IF(ISERROR(DAVERAGE(_xlnm.Database,FILESTAT!U$3,bfy1989_)),0,DAVERAGE(_xlnm.Database,FILESTAT!U$3,bfy1989_)),0)</f>
        <v>0</v>
      </c>
      <c r="V86" s="122"/>
      <c r="W86" s="122">
        <f>ROUND(IF(ISERROR(DAVERAGE(_xlnm.Database,FILESTAT!W$3,bfy1989_)),0,DAVERAGE(_xlnm.Database,FILESTAT!W$3,bfy1989_)),0)</f>
        <v>0</v>
      </c>
      <c r="X86" s="123">
        <f>ROUND(IF(ISERROR(DAVERAGE(_xlnm.Database,FILESTAT!X$3,bfy1989_)),0,DAVERAGE(_xlnm.Database,FILESTAT!X$3,bfy1989_)),0)</f>
        <v>0</v>
      </c>
      <c r="Z86" s="121">
        <f>ROUND(IF(ISERROR(DAVERAGE(_xlnm.Database,FILESTAT!Z$3,bfy1989_)),0,DAVERAGE(_xlnm.Database,FILESTAT!Z$3,bfy1989_)),0)</f>
        <v>0</v>
      </c>
      <c r="AA86" s="122">
        <f>ROUND(IF(ISERROR(DAVERAGE(_xlnm.Database,FILESTAT!AA$3,bfy1989_)),0,DAVERAGE(_xlnm.Database,FILESTAT!AA$3,bfy1989_)),0)</f>
        <v>0</v>
      </c>
      <c r="AB86" s="122"/>
      <c r="AC86" s="121">
        <f>ROUND(IF(ISERROR(DAVERAGE(_xlnm.Database,FILESTAT!AC$3,bfy1989_)),0,DAVERAGE(_xlnm.Database,FILESTAT!AC$3,bfy1989_)),0)</f>
        <v>0</v>
      </c>
      <c r="AD86" s="122">
        <f>ROUND(IF(ISERROR(DAVERAGE(_xlnm.Database,FILESTAT!AD$3,bfy1989_)),0,DAVERAGE(_xlnm.Database,FILESTAT!AD$3,bfy1989_)),0)</f>
        <v>0</v>
      </c>
      <c r="AE86" s="120"/>
      <c r="AG86" s="121">
        <f>ROUND(IF(ISERROR(DAVERAGE(_xlnm.Database,FILESTAT!AG$3,bfy1989_)),0,DAVERAGE(_xlnm.Database,FILESTAT!AG$3,bfy1989_)),0)</f>
        <v>83</v>
      </c>
      <c r="AH86" s="122">
        <f>ROUND(IF(ISERROR(DAVERAGE(_xlnm.Database,FILESTAT!AH$3,bfy1989_)),0,DAVERAGE(_xlnm.Database,FILESTAT!AH$3,bfy1989_)),0)</f>
        <v>17</v>
      </c>
      <c r="AI86" s="122">
        <f>ROUND(IF(ISERROR(DAVERAGE(_xlnm.Database,FILESTAT!AI$3,bfy1989_)),0,DAVERAGE(_xlnm.Database,FILESTAT!AI$3,bfy1989_)),0)</f>
        <v>140</v>
      </c>
      <c r="AJ86" s="123">
        <f>ROUND(IF(ISERROR(DAVERAGE(_xlnm.Database,FILESTAT!AJ$3,bfy1989_)),0,DAVERAGE(_xlnm.Database,FILESTAT!AJ$3,bfy1989_)),0)</f>
        <v>18</v>
      </c>
      <c r="AL86" s="121">
        <f>ROUND(IF(ISERROR(DAVERAGE(_xlnm.Database,FILESTAT!AL$3,bfy1989_)),0,DAVERAGE(_xlnm.Database,FILESTAT!AL$3,bfy1989_)),0)</f>
        <v>0</v>
      </c>
      <c r="AM86" s="122">
        <f>ROUND(IF(ISERROR(DAVERAGE(_xlnm.Database,FILESTAT!AM$3,bfy1989_)),0,DAVERAGE(_xlnm.Database,FILESTAT!AM$3,bfy1989_)),0)</f>
        <v>0</v>
      </c>
      <c r="AN86" s="120">
        <f>SUM(AL86:AM86)</f>
        <v>0</v>
      </c>
      <c r="AO86" s="122">
        <f>ROUND(IF(ISERROR(DAVERAGE(_xlnm.Database,FILESTAT!AO$3,bfy1989_)),0,DAVERAGE(_xlnm.Database,FILESTAT!AO$3,bfy1989_)),0)</f>
        <v>0</v>
      </c>
      <c r="AP86" s="122">
        <f>ROUND(IF(ISERROR(DAVERAGE(_xlnm.Database,FILESTAT!AP$3,bfy1989_)),0,DAVERAGE(_xlnm.Database,FILESTAT!AP$3,bfy1989_)),0)</f>
        <v>0</v>
      </c>
      <c r="AQ86" s="120">
        <f>SUM(AO86:AP86)</f>
        <v>0</v>
      </c>
      <c r="AR86" s="122">
        <f>ROUND(IF(ISERROR(DAVERAGE(_xlnm.Database,FILESTAT!AR$3,bfy1989_)),0,DAVERAGE(_xlnm.Database,FILESTAT!AR$3,bfy1989_)),0)</f>
        <v>0</v>
      </c>
      <c r="AS86" s="122">
        <f>ROUND(IF(ISERROR(DAVERAGE(_xlnm.Database,FILESTAT!AS$3,bfy1989_)),0,DAVERAGE(_xlnm.Database,FILESTAT!AS$3,bfy1989_)),0)</f>
        <v>0</v>
      </c>
      <c r="AT86" s="122">
        <f>ROUND(IF(ISERROR(DAVERAGE(_xlnm.Database,FILESTAT!AT$3,bfy1989_)),0,DAVERAGE(_xlnm.Database,FILESTAT!AT$3,bfy1989_)),0)</f>
        <v>0</v>
      </c>
      <c r="AU86" s="122">
        <f>ROUND(IF(ISERROR(DAVERAGE(_xlnm.Database,FILESTAT!AU$3,bfy1989_)),0,DAVERAGE(_xlnm.Database,FILESTAT!AU$3,bfy1989_)),0)</f>
        <v>0</v>
      </c>
      <c r="AV86" s="123">
        <f>ROUND(IF(ISERROR(DAVERAGE(_xlnm.Database,FILESTAT!AV$3,bfy1989_)),0,DAVERAGE(_xlnm.Database,FILESTAT!AV$3,bfy1989_)),0)</f>
        <v>0</v>
      </c>
      <c r="AW86"/>
      <c r="AX86" s="356"/>
      <c r="AY86"/>
      <c r="BA86" s="121">
        <f>ROUND(IF(ISERROR(DAVERAGE(_xlnm.Database,FILESTAT!BA$3,bfy1989_)),0,DAVERAGE(_xlnm.Database,FILESTAT!BA$3,bfy1989_)),0)</f>
        <v>0</v>
      </c>
      <c r="BB86" s="122">
        <f>ROUND(IF(ISERROR(DAVERAGE(_xlnm.Database,FILESTAT!BB$3,bfy1989_)),0,DAVERAGE(_xlnm.Database,FILESTAT!BB$3,bfy1989_)),0)</f>
        <v>0</v>
      </c>
      <c r="BC86" s="122">
        <f>ROUND(IF(ISERROR(DAVERAGE(_xlnm.Database,FILESTAT!BC$3,bfy1989_)),0,DAVERAGE(_xlnm.Database,FILESTAT!BC$3,bfy1989_)),0)</f>
        <v>0</v>
      </c>
      <c r="BD86" s="122"/>
      <c r="BE86" s="122">
        <f>ROUND(IF(ISERROR(DAVERAGE(_xlnm.Database,FILESTAT!BE$3,bfy1989_)),0,DAVERAGE(_xlnm.Database,FILESTAT!BE$3,bfy1989_)),0)</f>
        <v>0</v>
      </c>
      <c r="BF86" s="122">
        <f>ROUND(IF(ISERROR(DAVERAGE(_xlnm.Database,FILESTAT!BF$3,bfy1989_)),0,DAVERAGE(_xlnm.Database,FILESTAT!BF$3,bfy1989_)),0)</f>
        <v>0</v>
      </c>
      <c r="BG86" s="122">
        <f>ROUND(IF(ISERROR(DAVERAGE(_xlnm.Database,FILESTAT!BG$3,bfy1989_)),0,DAVERAGE(_xlnm.Database,FILESTAT!BG$3,bfy1989_)),0)</f>
        <v>0</v>
      </c>
      <c r="BH86" s="122"/>
      <c r="BI86" s="122">
        <f>ROUND(IF(ISERROR(DAVERAGE(_xlnm.Database,FILESTAT!BI$3,bfy1989_)),0,DAVERAGE(_xlnm.Database,FILESTAT!BI$3,bfy1989_)),0)</f>
        <v>0</v>
      </c>
      <c r="BJ86" s="122"/>
      <c r="BK86" s="122"/>
      <c r="BL86" s="122"/>
      <c r="BM86" s="123">
        <f>ROUND(IF(ISERROR(DAVERAGE(_xlnm.Database,FILESTAT!BM$3,bfy1989_)),0,DAVERAGE(_xlnm.Database,FILESTAT!BM$3,bfy1989_)),0)</f>
        <v>3942</v>
      </c>
      <c r="BO86" s="121">
        <f>ROUND(IF(ISERROR(DAVERAGE(_xlnm.Database,FILESTAT!BO$3,bfy1989_)),0,DAVERAGE(_xlnm.Database,FILESTAT!BO$3,bfy1989_)),0)</f>
        <v>0</v>
      </c>
      <c r="BP86" s="123">
        <f>ROUND(IF(ISERROR(DAVERAGE(_xlnm.Database,FILESTAT!BP$3,bfy1989_)),0,DAVERAGE(_xlnm.Database,FILESTAT!BP$3,bfy1989_)),0)</f>
        <v>0</v>
      </c>
      <c r="BR86" s="250"/>
      <c r="BS86" s="178"/>
      <c r="BT86" s="251"/>
      <c r="BV86" s="121">
        <f>ROUND(IF(ISERROR(DAVERAGE(_xlnm.Database,FILESTAT!BV$3,bfy1989_)),0,DAVERAGE(_xlnm.Database,FILESTAT!BV$3,bfy1989_)),0)</f>
        <v>0</v>
      </c>
      <c r="BW86" s="122">
        <f>ROUND(IF(ISERROR(DAVERAGE(_xlnm.Database,FILESTAT!BW$3,bfy1989_)),0,DAVERAGE(_xlnm.Database,FILESTAT!BW$3,bfy1989_)),0)</f>
        <v>0</v>
      </c>
      <c r="BX86" s="122">
        <f>ROUND(IF(ISERROR(DAVERAGE(_xlnm.Database,FILESTAT!BX$3,bfy1989_)),0,DAVERAGE(_xlnm.Database,FILESTAT!BX$3,bfy1989_)),0)</f>
        <v>0</v>
      </c>
      <c r="BY86" s="122">
        <f>ROUND(IF(ISERROR(DAVERAGE(_xlnm.Database,FILESTAT!BY$3,bfy1989_)),0,DAVERAGE(_xlnm.Database,FILESTAT!BY$3,bfy1989_)),0)</f>
        <v>0</v>
      </c>
      <c r="BZ86" s="122">
        <f>ROUND(IF(ISERROR(DAVERAGE(_xlnm.Database,FILESTAT!BZ$3,bfy1989_)),0,DAVERAGE(_xlnm.Database,FILESTAT!BZ$3,bfy1989_)),0)</f>
        <v>0</v>
      </c>
      <c r="CA86" s="122">
        <f>ROUND(IF(ISERROR(DAVERAGE(_xlnm.Database,FILESTAT!CA$3,bfy1989_)),0,DAVERAGE(_xlnm.Database,FILESTAT!CA$3,bfy1989_)),0)</f>
        <v>0</v>
      </c>
      <c r="CB86" s="122">
        <f>ROUND(IF(ISERROR(DAVERAGE(_xlnm.Database,FILESTAT!CB$3,bfy1989_)),0,DAVERAGE(_xlnm.Database,FILESTAT!CB$3,bfy1989_)),0)</f>
        <v>0</v>
      </c>
      <c r="CC86" s="122"/>
      <c r="CD86" s="122">
        <f>ROUND(IF(ISERROR(DAVERAGE(_xlnm.Database,FILESTAT!CD$3,bfy1989_)),0,DAVERAGE(_xlnm.Database,FILESTAT!CD$3,bfy1989_)),0)</f>
        <v>0</v>
      </c>
      <c r="CE86" s="122">
        <f>ROUND(IF(ISERROR(DAVERAGE(_xlnm.Database,FILESTAT!CE$3,bfy1989_)),0,DAVERAGE(_xlnm.Database,FILESTAT!CE$3,bfy1989_)),0)</f>
        <v>0</v>
      </c>
      <c r="CF86" s="122">
        <f>ROUND(IF(ISERROR(DAVERAGE(_xlnm.Database,FILESTAT!CF$3,bfy1989_)),0,DAVERAGE(_xlnm.Database,FILESTAT!CF$3,bfy1989_)),0)</f>
        <v>0</v>
      </c>
      <c r="CG86" s="122">
        <f>ROUND(IF(ISERROR(DAVERAGE(_xlnm.Database,FILESTAT!CG$3,bfy1989_)),0,DAVERAGE(_xlnm.Database,FILESTAT!CG$3,bfy1989_)),0)</f>
        <v>0</v>
      </c>
      <c r="CH86" s="122">
        <f>ROUND(IF(ISERROR(DAVERAGE(_xlnm.Database,FILESTAT!CH$3,bfy1989_)),0,DAVERAGE(_xlnm.Database,FILESTAT!CH$3,bfy1989_)),0)</f>
        <v>0</v>
      </c>
      <c r="CI86" s="122">
        <f>ROUND(IF(ISERROR(DAVERAGE(_xlnm.Database,FILESTAT!CI$3,bfy1989_)),0,DAVERAGE(_xlnm.Database,FILESTAT!CI$3,bfy1989_)),0)</f>
        <v>0</v>
      </c>
      <c r="CJ86" s="122">
        <f>ROUND(IF(ISERROR(DAVERAGE(_xlnm.Database,FILESTAT!CJ$3,bfy1989_)),0,DAVERAGE(_xlnm.Database,FILESTAT!CJ$3,bfy1989_)),0)</f>
        <v>0</v>
      </c>
      <c r="CK86" s="122"/>
      <c r="CL86" s="122"/>
      <c r="CM86" s="122">
        <f>ROUND(IF(ISERROR(DAVERAGE(_xlnm.Database,FILESTAT!CM$3,bfy1989_)),0,DAVERAGE(_xlnm.Database,FILESTAT!CM$3,bfy1989_)),0)</f>
        <v>0</v>
      </c>
      <c r="CN86" s="122">
        <f>ROUND(IF(ISERROR(DAVERAGE(_xlnm.Database,FILESTAT!CN$3,bfy1989_)),0,DAVERAGE(_xlnm.Database,FILESTAT!CN$3,bfy1989_)),0)</f>
        <v>0</v>
      </c>
      <c r="CO86" s="122">
        <f>ROUND(IF(ISERROR(DAVERAGE(_xlnm.Database,FILESTAT!CO$3,bfy1989_)),0,DAVERAGE(_xlnm.Database,FILESTAT!CO$3,bfy1989_)),0)</f>
        <v>0</v>
      </c>
      <c r="CP86" s="122"/>
      <c r="CQ86" s="122">
        <f>ROUND(IF(ISERROR(DAVERAGE(_xlnm.Database,FILESTAT!CQ$3,bfy1989_)),0,DAVERAGE(_xlnm.Database,FILESTAT!CQ$3,bfy1989_)),0)</f>
        <v>0</v>
      </c>
      <c r="CR86" s="122"/>
      <c r="CS86" s="122">
        <f>ROUND(IF(ISERROR(DAVERAGE(_xlnm.Database,FILESTAT!CS$3,bfy1989_)),0,DAVERAGE(_xlnm.Database,FILESTAT!CS$3,bfy1989_)),0)</f>
        <v>0</v>
      </c>
      <c r="CT86" s="122">
        <f>ROUND(IF(ISERROR(DAVERAGE(_xlnm.Database,FILESTAT!CT$3,bfy1989_)),0,DAVERAGE(_xlnm.Database,FILESTAT!CT$3,bfy1989_)),0)</f>
        <v>0</v>
      </c>
      <c r="CU86" s="122">
        <f>ROUND(IF(ISERROR(DAVERAGE(_xlnm.Database,FILESTAT!CU$3,bfy1989_)),0,DAVERAGE(_xlnm.Database,FILESTAT!CU$3,bfy1989_)),0)</f>
        <v>0</v>
      </c>
      <c r="CV86" s="122">
        <f>ROUND(IF(ISERROR(DAVERAGE(_xlnm.Database,FILESTAT!CV$3,bfy1989_)),0,DAVERAGE(_xlnm.Database,FILESTAT!CV$3,bfy1989_)),0)</f>
        <v>0</v>
      </c>
      <c r="CW86" s="122">
        <f>ROUND(IF(ISERROR(DAVERAGE(_xlnm.Database,FILESTAT!CW$3,bfy1989_)),0,DAVERAGE(_xlnm.Database,FILESTAT!CW$3,bfy1989_)),0)</f>
        <v>0</v>
      </c>
      <c r="CX86" s="122"/>
      <c r="CY86" s="122">
        <f>ROUND(IF(ISERROR(DAVERAGE(_xlnm.Database,FILESTAT!CY$3,bfy1989_)),0,DAVERAGE(_xlnm.Database,FILESTAT!CY$3,bfy1989_)),0)</f>
        <v>0</v>
      </c>
      <c r="CZ86" s="122">
        <f>ROUND(IF(ISERROR(DAVERAGE(_xlnm.Database,FILESTAT!CZ$3,bfy1989_)),0,DAVERAGE(_xlnm.Database,FILESTAT!CZ$3,bfy1989_)),0)</f>
        <v>0</v>
      </c>
      <c r="DA86" s="122">
        <f>ROUND(IF(ISERROR(DAVERAGE(_xlnm.Database,FILESTAT!DA$3,bfy1989_)),0,DAVERAGE(_xlnm.Database,FILESTAT!DA$3,bfy1989_)),0)</f>
        <v>0</v>
      </c>
      <c r="DB86" s="122">
        <f>ROUND(IF(ISERROR(DAVERAGE(_xlnm.Database,FILESTAT!DB$3,bfy1989_)),0,DAVERAGE(_xlnm.Database,FILESTAT!DB$3,bfy1989_)),0)</f>
        <v>0</v>
      </c>
      <c r="DC86" s="122">
        <f>ROUND(IF(ISERROR(DAVERAGE(_xlnm.Database,FILESTAT!DC$3,bfy1989_)),0,DAVERAGE(_xlnm.Database,FILESTAT!DC$3,bfy1989_)),0)</f>
        <v>0</v>
      </c>
      <c r="DD86" s="122">
        <f>ROUND(IF(ISERROR(DAVERAGE(_xlnm.Database,FILESTAT!DD$3,bfy1989_)),0,DAVERAGE(_xlnm.Database,FILESTAT!DD$3,bfy1989_)),0)</f>
        <v>0</v>
      </c>
      <c r="DE86" s="122">
        <f>ROUND(IF(ISERROR(DAVERAGE(_xlnm.Database,FILESTAT!DE$3,bfy1989_)),0,DAVERAGE(_xlnm.Database,FILESTAT!DE$3,bfy1989_)),0)</f>
        <v>0</v>
      </c>
      <c r="DF86" s="122">
        <f>ROUND(IF(ISERROR(DAVERAGE(_xlnm.Database,FILESTAT!DF$3,bfy1989_)),0,DAVERAGE(_xlnm.Database,FILESTAT!DF$3,bfy1989_)),0)</f>
        <v>0</v>
      </c>
      <c r="DG86" s="122">
        <f>ROUND(IF(ISERROR(DAVERAGE(_xlnm.Database,FILESTAT!DG$3,bfy1989_)),0,DAVERAGE(_xlnm.Database,FILESTAT!DG$3,bfy1989_)),0)</f>
        <v>0</v>
      </c>
      <c r="DH86" s="122">
        <f>ROUND(IF(ISERROR(DAVERAGE(_xlnm.Database,FILESTAT!DH$3,bfy1989_)),0,DAVERAGE(_xlnm.Database,FILESTAT!DH$3,bfy1989_)),0)</f>
        <v>0</v>
      </c>
      <c r="DI86" s="122">
        <f>ROUND(IF(ISERROR(DAVERAGE(_xlnm.Database,FILESTAT!DI$3,bfy1989_)),0,DAVERAGE(_xlnm.Database,FILESTAT!DI$3,bfy1989_)),0)</f>
        <v>0</v>
      </c>
      <c r="DJ86" s="122">
        <f>ROUND(IF(ISERROR(DAVERAGE(_xlnm.Database,FILESTAT!DJ$3,bfy1989_)),0,DAVERAGE(_xlnm.Database,FILESTAT!DJ$3,bfy1989_)),0)</f>
        <v>0</v>
      </c>
      <c r="DK86" s="122"/>
      <c r="DL86" s="122">
        <f>ROUND(IF(ISERROR(DAVERAGE(_xlnm.Database,FILESTAT!DL$3,bfy1989_)),0,DAVERAGE(_xlnm.Database,FILESTAT!DL$3,bfy1989_)),0)</f>
        <v>0</v>
      </c>
      <c r="DM86" s="122">
        <f>ROUND(IF(ISERROR(DAVERAGE(_xlnm.Database,FILESTAT!DM$3,bfy1989_)),0,DAVERAGE(_xlnm.Database,FILESTAT!DM$3,bfy1989_)),0)</f>
        <v>0</v>
      </c>
      <c r="DN86" s="122">
        <f>ROUND(IF(ISERROR(DAVERAGE(_xlnm.Database,FILESTAT!DN$3,bfy1989_)),0,DAVERAGE(_xlnm.Database,FILESTAT!DN$3,bfy1989_)),0)</f>
        <v>0</v>
      </c>
      <c r="DO86" s="122">
        <f>ROUND(IF(ISERROR(DAVERAGE(_xlnm.Database,FILESTAT!DO$3,bfy1989_)),0,DAVERAGE(_xlnm.Database,FILESTAT!DO$3,bfy1989_)),0)</f>
        <v>0</v>
      </c>
      <c r="DP86" s="122">
        <f>ROUND(IF(ISERROR(DAVERAGE(_xlnm.Database,FILESTAT!DP$3,bfy1989_)),0,DAVERAGE(_xlnm.Database,FILESTAT!DP$3,bfy1989_)),0)</f>
        <v>0</v>
      </c>
      <c r="DQ86" s="122">
        <f>ROUND(IF(ISERROR(DAVERAGE(_xlnm.Database,FILESTAT!DQ$3,bfy1989_)),0,DAVERAGE(_xlnm.Database,FILESTAT!DQ$3,bfy1989_)),0)</f>
        <v>0</v>
      </c>
      <c r="DR86" s="122"/>
      <c r="DS86" s="122">
        <f>ROUND(IF(ISERROR(DAVERAGE(_xlnm.Database,FILESTAT!DS$3,bfy1989_)),0,DAVERAGE(_xlnm.Database,FILESTAT!DS$3,bfy1989_)),0)</f>
        <v>0</v>
      </c>
      <c r="DT86" s="122">
        <f>ROUND(IF(ISERROR(DAVERAGE(_xlnm.Database,FILESTAT!DT$3,bfy1989_)),0,DAVERAGE(_xlnm.Database,FILESTAT!DT$3,bfy1989_)),0)</f>
        <v>0</v>
      </c>
      <c r="DU86" s="122">
        <f>ROUND(IF(ISERROR(DAVERAGE(_xlnm.Database,FILESTAT!DU$3,bfy1989_)),0,DAVERAGE(_xlnm.Database,FILESTAT!DU$3,bfy1989_)),0)</f>
        <v>0</v>
      </c>
      <c r="DV86" s="127">
        <f>SUM(BV86:DU86)</f>
        <v>0</v>
      </c>
      <c r="DW86" s="128"/>
    </row>
    <row r="87" spans="1:129" s="111" customFormat="1">
      <c r="A87" s="228">
        <v>1990</v>
      </c>
      <c r="B87" s="24"/>
      <c r="C87" s="121">
        <f>ROUND(IF(ISERROR(DAVERAGE(_xlnm.Database,FILESTAT!C$3,bfy1990_)),0,DAVERAGE(_xlnm.Database,FILESTAT!C$3,bfy1990_)),0)</f>
        <v>6</v>
      </c>
      <c r="D87" s="122">
        <f>ROUND(IF(ISERROR(DAVERAGE(_xlnm.Database,FILESTAT!D$3,bfy1990_)),0,DAVERAGE(_xlnm.Database,FILESTAT!D$3,bfy1990_)),0)</f>
        <v>16</v>
      </c>
      <c r="E87" s="122">
        <f>ROUND(IF(ISERROR(DAVERAGE(_xlnm.Database,FILESTAT!E$3,bfy1990_)),0,DAVERAGE(_xlnm.Database,FILESTAT!E$3,bfy1990_)),0)</f>
        <v>2</v>
      </c>
      <c r="F87" s="122">
        <f>ROUND(IF(ISERROR(DAVERAGE(_xlnm.Database,FILESTAT!F$3,bfy1990_)),0,DAVERAGE(_xlnm.Database,FILESTAT!F$3,bfy1990_)),0)</f>
        <v>0</v>
      </c>
      <c r="G87" s="122">
        <f>ROUND(IF(ISERROR(DAVERAGE(_xlnm.Database,FILESTAT!G$3,bfy1990_)),0,DAVERAGE(_xlnm.Database,FILESTAT!G$3,bfy1990_)),0)</f>
        <v>2</v>
      </c>
      <c r="H87" s="122">
        <f>ROUND(IF(ISERROR(DAVERAGE(_xlnm.Database,FILESTAT!H$3,bfy1990_)),0,DAVERAGE(_xlnm.Database,FILESTAT!H$3,bfy1990_)),0)</f>
        <v>2</v>
      </c>
      <c r="I87" s="122">
        <f>ROUND(IF(ISERROR(DAVERAGE(_xlnm.Database,FILESTAT!I$3,bfy1990_)),0,DAVERAGE(_xlnm.Database,FILESTAT!I$3,bfy1990_)),0)</f>
        <v>0</v>
      </c>
      <c r="J87" s="122">
        <f>ROUND(IF(ISERROR(DAVERAGE(_xlnm.Database,FILESTAT!J$3,bfy1990_)),0,DAVERAGE(_xlnm.Database,FILESTAT!J$3,bfy1990_)),0)</f>
        <v>0</v>
      </c>
      <c r="K87" s="122">
        <f>ROUND(IF(ISERROR(DAVERAGE(_xlnm.Database,FILESTAT!K$3,bfy1990_)),0,DAVERAGE(_xlnm.Database,FILESTAT!K$3,bfy1990_)),0)</f>
        <v>0</v>
      </c>
      <c r="L87" s="122">
        <f>ROUND(IF(ISERROR(DAVERAGE(_xlnm.Database,FILESTAT!L$3,bfy1990_)),0,DAVERAGE(_xlnm.Database,FILESTAT!L$3,bfy1990_)),0)</f>
        <v>0</v>
      </c>
      <c r="M87" s="122">
        <f>ROUND(IF(ISERROR(DAVERAGE(_xlnm.Database,FILESTAT!M$3,bfy1990_)),0,DAVERAGE(_xlnm.Database,FILESTAT!M$3,bfy1990_)),0)</f>
        <v>0</v>
      </c>
      <c r="N87" s="122">
        <f>ROUND(IF(ISERROR(DAVERAGE(_xlnm.Database,FILESTAT!N$3,bfy1990_)),0,DAVERAGE(_xlnm.Database,FILESTAT!N$3,bfy1990_)),0)</f>
        <v>0</v>
      </c>
      <c r="O87" s="122">
        <f>ROUND(IF(ISERROR(DAVERAGE(_xlnm.Database,FILESTAT!O$3,bfy1990_)),0,DAVERAGE(_xlnm.Database,FILESTAT!O$3,bfy1990_)),0)</f>
        <v>9</v>
      </c>
      <c r="P87" s="122">
        <f>ROUND(IF(ISERROR(DAVERAGE(_xlnm.Database,FILESTAT!P$3,bfy1990_)),0,DAVERAGE(_xlnm.Database,FILESTAT!P$3,bfy1990_)),0)</f>
        <v>0</v>
      </c>
      <c r="Q87" s="122">
        <f>ROUND(IF(ISERROR(DAVERAGE(_xlnm.Database,FILESTAT!Q$3,bfy1990_)),0,DAVERAGE(_xlnm.Database,FILESTAT!Q$3,bfy1990_)),0)</f>
        <v>0</v>
      </c>
      <c r="R87" s="122">
        <f>ROUND(IF(ISERROR(DAVERAGE(_xlnm.Database,FILESTAT!R$3,bfy1990_)),0,DAVERAGE(_xlnm.Database,FILESTAT!R$3,bfy1990_)),0)</f>
        <v>0</v>
      </c>
      <c r="S87" s="120">
        <f t="shared" ref="S87:S98" si="211">SUM(C87:R87)</f>
        <v>37</v>
      </c>
      <c r="T87" s="122">
        <f>ROUND(IF(ISERROR(DAVERAGE(_xlnm.Database,FILESTAT!T$3,bfy1990_)),0,DAVERAGE(_xlnm.Database,FILESTAT!T$3,bfy1990_)),0)</f>
        <v>0</v>
      </c>
      <c r="U87" s="122">
        <f>ROUND(IF(ISERROR(DAVERAGE(_xlnm.Database,FILESTAT!U$3,bfy1990_)),0,DAVERAGE(_xlnm.Database,FILESTAT!U$3,bfy1990_)),0)</f>
        <v>0</v>
      </c>
      <c r="V87" s="122"/>
      <c r="W87" s="122">
        <f>ROUND(IF(ISERROR(DAVERAGE(_xlnm.Database,FILESTAT!W$3,bfy1990_)),0,DAVERAGE(_xlnm.Database,FILESTAT!W$3,bfy1990_)),0)</f>
        <v>0</v>
      </c>
      <c r="X87" s="123">
        <f>ROUND(IF(ISERROR(DAVERAGE(_xlnm.Database,FILESTAT!X$3,bfy1990_)),0,DAVERAGE(_xlnm.Database,FILESTAT!X$3,bfy1990_)),0)</f>
        <v>0</v>
      </c>
      <c r="Z87" s="121">
        <f>ROUND(IF(ISERROR(DAVERAGE(_xlnm.Database,FILESTAT!Z$3,bfy1990_)),0,DAVERAGE(_xlnm.Database,FILESTAT!Z$3,bfy1990_)),0)</f>
        <v>0</v>
      </c>
      <c r="AA87" s="122">
        <f>ROUND(IF(ISERROR(DAVERAGE(_xlnm.Database,FILESTAT!AA$3,bfy1990_)),0,DAVERAGE(_xlnm.Database,FILESTAT!AA$3,bfy1990_)),0)</f>
        <v>0</v>
      </c>
      <c r="AB87" s="122"/>
      <c r="AC87" s="121">
        <f>ROUND(IF(ISERROR(DAVERAGE(_xlnm.Database,FILESTAT!AC$3,bfy1990_)),0,DAVERAGE(_xlnm.Database,FILESTAT!AC$3,bfy1990_)),0)</f>
        <v>0</v>
      </c>
      <c r="AD87" s="122">
        <f>ROUND(IF(ISERROR(DAVERAGE(_xlnm.Database,FILESTAT!AD$3,bfy1990_)),0,DAVERAGE(_xlnm.Database,FILESTAT!AD$3,bfy1990_)),0)</f>
        <v>0</v>
      </c>
      <c r="AE87" s="120"/>
      <c r="AG87" s="121">
        <f>ROUND(IF(ISERROR(DAVERAGE(_xlnm.Database,FILESTAT!AG$3,bfy1990_)),0,DAVERAGE(_xlnm.Database,FILESTAT!AG$3,bfy1990_)),0)</f>
        <v>87</v>
      </c>
      <c r="AH87" s="122">
        <f>ROUND(IF(ISERROR(DAVERAGE(_xlnm.Database,FILESTAT!AH$3,bfy1990_)),0,DAVERAGE(_xlnm.Database,FILESTAT!AH$3,bfy1990_)),0)</f>
        <v>12</v>
      </c>
      <c r="AI87" s="122">
        <f>ROUND(IF(ISERROR(DAVERAGE(_xlnm.Database,FILESTAT!AI$3,bfy1990_)),0,DAVERAGE(_xlnm.Database,FILESTAT!AI$3,bfy1990_)),0)</f>
        <v>134</v>
      </c>
      <c r="AJ87" s="123">
        <f>ROUND(IF(ISERROR(DAVERAGE(_xlnm.Database,FILESTAT!AJ$3,bfy1990_)),0,DAVERAGE(_xlnm.Database,FILESTAT!AJ$3,bfy1990_)),0)</f>
        <v>18</v>
      </c>
      <c r="AL87" s="121">
        <f>ROUND(IF(ISERROR(DAVERAGE(_xlnm.Database,FILESTAT!AL$3,bfy1990_)),0,DAVERAGE(_xlnm.Database,FILESTAT!AL$3,bfy1990_)),0)</f>
        <v>0</v>
      </c>
      <c r="AM87" s="122">
        <f>ROUND(IF(ISERROR(DAVERAGE(_xlnm.Database,FILESTAT!AM$3,bfy1990_)),0,DAVERAGE(_xlnm.Database,FILESTAT!AM$3,bfy1990_)),0)</f>
        <v>0</v>
      </c>
      <c r="AN87" s="120">
        <f>SUM(AL87:AM87)</f>
        <v>0</v>
      </c>
      <c r="AO87" s="122">
        <f>ROUND(IF(ISERROR(DAVERAGE(_xlnm.Database,FILESTAT!AO$3,bfy1990_)),0,DAVERAGE(_xlnm.Database,FILESTAT!AO$3,bfy1990_)),0)</f>
        <v>0</v>
      </c>
      <c r="AP87" s="122">
        <f>ROUND(IF(ISERROR(DAVERAGE(_xlnm.Database,FILESTAT!AP$3,bfy1990_)),0,DAVERAGE(_xlnm.Database,FILESTAT!AP$3,bfy1990_)),0)</f>
        <v>0</v>
      </c>
      <c r="AQ87" s="120">
        <f>SUM(AO87:AP87)</f>
        <v>0</v>
      </c>
      <c r="AR87" s="122">
        <f>ROUND(IF(ISERROR(DAVERAGE(_xlnm.Database,FILESTAT!AR$3,bfy1990_)),0,DAVERAGE(_xlnm.Database,FILESTAT!AR$3,bfy1990_)),0)</f>
        <v>0</v>
      </c>
      <c r="AS87" s="122">
        <f>ROUND(IF(ISERROR(DAVERAGE(_xlnm.Database,FILESTAT!AS$3,bfy1990_)),0,DAVERAGE(_xlnm.Database,FILESTAT!AS$3,bfy1990_)),0)</f>
        <v>0</v>
      </c>
      <c r="AT87" s="122">
        <f>ROUND(IF(ISERROR(DAVERAGE(_xlnm.Database,FILESTAT!AT$3,bfy1990_)),0,DAVERAGE(_xlnm.Database,FILESTAT!AT$3,bfy1990_)),0)</f>
        <v>0</v>
      </c>
      <c r="AU87" s="122">
        <f>ROUND(IF(ISERROR(DAVERAGE(_xlnm.Database,FILESTAT!AU$3,bfy1990_)),0,DAVERAGE(_xlnm.Database,FILESTAT!AU$3,bfy1990_)),0)</f>
        <v>0</v>
      </c>
      <c r="AV87" s="123">
        <f>ROUND(IF(ISERROR(DAVERAGE(_xlnm.Database,FILESTAT!AV$3,bfy1990_)),0,DAVERAGE(_xlnm.Database,FILESTAT!AV$3,bfy1990_)),0)</f>
        <v>0</v>
      </c>
      <c r="AW87"/>
      <c r="AX87" s="356"/>
      <c r="AY87"/>
      <c r="BA87" s="121">
        <f>ROUND(IF(ISERROR(DAVERAGE(_xlnm.Database,FILESTAT!BA$3,bfy1990_)),0,DAVERAGE(_xlnm.Database,FILESTAT!BA$3,bfy1990_)),0)</f>
        <v>0</v>
      </c>
      <c r="BB87" s="122">
        <f>ROUND(IF(ISERROR(DAVERAGE(_xlnm.Database,FILESTAT!BB$3,bfy1990_)),0,DAVERAGE(_xlnm.Database,FILESTAT!BB$3,bfy1990_)),0)</f>
        <v>0</v>
      </c>
      <c r="BC87" s="122">
        <f>ROUND(IF(ISERROR(DAVERAGE(_xlnm.Database,FILESTAT!BC$3,bfy1990_)),0,DAVERAGE(_xlnm.Database,FILESTAT!BC$3,bfy1990_)),0)</f>
        <v>0</v>
      </c>
      <c r="BD87" s="122"/>
      <c r="BE87" s="122">
        <f>ROUND(IF(ISERROR(DAVERAGE(_xlnm.Database,FILESTAT!BE$3,bfy1990_)),0,DAVERAGE(_xlnm.Database,FILESTAT!BE$3,bfy1990_)),0)</f>
        <v>0</v>
      </c>
      <c r="BF87" s="122">
        <f>ROUND(IF(ISERROR(DAVERAGE(_xlnm.Database,FILESTAT!BF$3,bfy1990_)),0,DAVERAGE(_xlnm.Database,FILESTAT!BF$3,bfy1990_)),0)</f>
        <v>0</v>
      </c>
      <c r="BG87" s="122">
        <f>ROUND(IF(ISERROR(DAVERAGE(_xlnm.Database,FILESTAT!BG$3,bfy1990_)),0,DAVERAGE(_xlnm.Database,FILESTAT!BG$3,bfy1990_)),0)</f>
        <v>0</v>
      </c>
      <c r="BH87" s="122"/>
      <c r="BI87" s="122">
        <f>ROUND(IF(ISERROR(DAVERAGE(_xlnm.Database,FILESTAT!BI$3,bfy1990_)),0,DAVERAGE(_xlnm.Database,FILESTAT!BI$3,bfy1990_)),0)</f>
        <v>0</v>
      </c>
      <c r="BJ87" s="122"/>
      <c r="BK87" s="122"/>
      <c r="BL87" s="122"/>
      <c r="BM87" s="123">
        <f>ROUND(IF(ISERROR(DAVERAGE(_xlnm.Database,FILESTAT!BM$3,bfy1990_)),0,DAVERAGE(_xlnm.Database,FILESTAT!BM$3,bfy1990_)),0)</f>
        <v>3564</v>
      </c>
      <c r="BO87" s="121">
        <f>ROUND(IF(ISERROR(DAVERAGE(_xlnm.Database,FILESTAT!BO$3,bfy1990_)),0,DAVERAGE(_xlnm.Database,FILESTAT!BO$3,bfy1990_)),0)</f>
        <v>0</v>
      </c>
      <c r="BP87" s="123">
        <f>ROUND(IF(ISERROR(DAVERAGE(_xlnm.Database,FILESTAT!BP$3,bfy1990_)),0,DAVERAGE(_xlnm.Database,FILESTAT!BP$3,bfy1990_)),0)</f>
        <v>0</v>
      </c>
      <c r="BR87" s="250"/>
      <c r="BS87" s="178"/>
      <c r="BT87" s="251"/>
      <c r="BV87" s="121">
        <f>ROUND(IF(ISERROR(DAVERAGE(_xlnm.Database,FILESTAT!BV$3,bfy1990_)),0,DAVERAGE(_xlnm.Database,FILESTAT!BV$3,bfy1990_)),0)</f>
        <v>0</v>
      </c>
      <c r="BW87" s="122">
        <f>ROUND(IF(ISERROR(DAVERAGE(_xlnm.Database,FILESTAT!BW$3,bfy1990_)),0,DAVERAGE(_xlnm.Database,FILESTAT!BW$3,bfy1990_)),0)</f>
        <v>0</v>
      </c>
      <c r="BX87" s="122">
        <f>ROUND(IF(ISERROR(DAVERAGE(_xlnm.Database,FILESTAT!BX$3,bfy1990_)),0,DAVERAGE(_xlnm.Database,FILESTAT!BX$3,bfy1990_)),0)</f>
        <v>0</v>
      </c>
      <c r="BY87" s="122">
        <f>ROUND(IF(ISERROR(DAVERAGE(_xlnm.Database,FILESTAT!BY$3,bfy1990_)),0,DAVERAGE(_xlnm.Database,FILESTAT!BY$3,bfy1990_)),0)</f>
        <v>0</v>
      </c>
      <c r="BZ87" s="122">
        <f>ROUND(IF(ISERROR(DAVERAGE(_xlnm.Database,FILESTAT!BZ$3,bfy1990_)),0,DAVERAGE(_xlnm.Database,FILESTAT!BZ$3,bfy1990_)),0)</f>
        <v>0</v>
      </c>
      <c r="CA87" s="122">
        <f>ROUND(IF(ISERROR(DAVERAGE(_xlnm.Database,FILESTAT!CA$3,bfy1990_)),0,DAVERAGE(_xlnm.Database,FILESTAT!CA$3,bfy1990_)),0)</f>
        <v>0</v>
      </c>
      <c r="CB87" s="122">
        <f>ROUND(IF(ISERROR(DAVERAGE(_xlnm.Database,FILESTAT!CB$3,bfy1990_)),0,DAVERAGE(_xlnm.Database,FILESTAT!CB$3,bfy1990_)),0)</f>
        <v>0</v>
      </c>
      <c r="CC87" s="122"/>
      <c r="CD87" s="122">
        <f>ROUND(IF(ISERROR(DAVERAGE(_xlnm.Database,FILESTAT!CD$3,bfy1990_)),0,DAVERAGE(_xlnm.Database,FILESTAT!CD$3,bfy1990_)),0)</f>
        <v>0</v>
      </c>
      <c r="CE87" s="122">
        <f>ROUND(IF(ISERROR(DAVERAGE(_xlnm.Database,FILESTAT!CE$3,bfy1990_)),0,DAVERAGE(_xlnm.Database,FILESTAT!CE$3,bfy1990_)),0)</f>
        <v>0</v>
      </c>
      <c r="CF87" s="122">
        <f>ROUND(IF(ISERROR(DAVERAGE(_xlnm.Database,FILESTAT!CF$3,bfy1990_)),0,DAVERAGE(_xlnm.Database,FILESTAT!CF$3,bfy1990_)),0)</f>
        <v>0</v>
      </c>
      <c r="CG87" s="122">
        <f>ROUND(IF(ISERROR(DAVERAGE(_xlnm.Database,FILESTAT!CG$3,bfy1990_)),0,DAVERAGE(_xlnm.Database,FILESTAT!CG$3,bfy1990_)),0)</f>
        <v>0</v>
      </c>
      <c r="CH87" s="122">
        <f>ROUND(IF(ISERROR(DAVERAGE(_xlnm.Database,FILESTAT!CH$3,bfy1990_)),0,DAVERAGE(_xlnm.Database,FILESTAT!CH$3,bfy1990_)),0)</f>
        <v>0</v>
      </c>
      <c r="CI87" s="122">
        <f>ROUND(IF(ISERROR(DAVERAGE(_xlnm.Database,FILESTAT!CI$3,bfy1990_)),0,DAVERAGE(_xlnm.Database,FILESTAT!CI$3,bfy1990_)),0)</f>
        <v>0</v>
      </c>
      <c r="CJ87" s="122">
        <f>ROUND(IF(ISERROR(DAVERAGE(_xlnm.Database,FILESTAT!CJ$3,bfy1990_)),0,DAVERAGE(_xlnm.Database,FILESTAT!CJ$3,bfy1990_)),0)</f>
        <v>0</v>
      </c>
      <c r="CK87" s="122"/>
      <c r="CL87" s="122"/>
      <c r="CM87" s="122">
        <f>ROUND(IF(ISERROR(DAVERAGE(_xlnm.Database,FILESTAT!CM$3,bfy1990_)),0,DAVERAGE(_xlnm.Database,FILESTAT!CM$3,bfy1990_)),0)</f>
        <v>0</v>
      </c>
      <c r="CN87" s="122">
        <f>ROUND(IF(ISERROR(DAVERAGE(_xlnm.Database,FILESTAT!CN$3,bfy1990_)),0,DAVERAGE(_xlnm.Database,FILESTAT!CN$3,bfy1990_)),0)</f>
        <v>0</v>
      </c>
      <c r="CO87" s="122">
        <f>ROUND(IF(ISERROR(DAVERAGE(_xlnm.Database,FILESTAT!CO$3,bfy1990_)),0,DAVERAGE(_xlnm.Database,FILESTAT!CO$3,bfy1990_)),0)</f>
        <v>0</v>
      </c>
      <c r="CP87" s="122"/>
      <c r="CQ87" s="122">
        <f>ROUND(IF(ISERROR(DAVERAGE(_xlnm.Database,FILESTAT!CQ$3,bfy1990_)),0,DAVERAGE(_xlnm.Database,FILESTAT!CQ$3,bfy1990_)),0)</f>
        <v>0</v>
      </c>
      <c r="CR87" s="122"/>
      <c r="CS87" s="122">
        <f>ROUND(IF(ISERROR(DAVERAGE(_xlnm.Database,FILESTAT!CS$3,bfy1990_)),0,DAVERAGE(_xlnm.Database,FILESTAT!CS$3,bfy1990_)),0)</f>
        <v>0</v>
      </c>
      <c r="CT87" s="122">
        <f>ROUND(IF(ISERROR(DAVERAGE(_xlnm.Database,FILESTAT!CT$3,bfy1990_)),0,DAVERAGE(_xlnm.Database,FILESTAT!CT$3,bfy1990_)),0)</f>
        <v>0</v>
      </c>
      <c r="CU87" s="122">
        <f>ROUND(IF(ISERROR(DAVERAGE(_xlnm.Database,FILESTAT!CU$3,bfy1990_)),0,DAVERAGE(_xlnm.Database,FILESTAT!CU$3,bfy1990_)),0)</f>
        <v>0</v>
      </c>
      <c r="CV87" s="122">
        <f>ROUND(IF(ISERROR(DAVERAGE(_xlnm.Database,FILESTAT!CV$3,bfy1990_)),0,DAVERAGE(_xlnm.Database,FILESTAT!CV$3,bfy1990_)),0)</f>
        <v>0</v>
      </c>
      <c r="CW87" s="122">
        <f>ROUND(IF(ISERROR(DAVERAGE(_xlnm.Database,FILESTAT!CW$3,bfy1990_)),0,DAVERAGE(_xlnm.Database,FILESTAT!CW$3,bfy1990_)),0)</f>
        <v>0</v>
      </c>
      <c r="CX87" s="122"/>
      <c r="CY87" s="122">
        <f>ROUND(IF(ISERROR(DAVERAGE(_xlnm.Database,FILESTAT!CY$3,bfy1990_)),0,DAVERAGE(_xlnm.Database,FILESTAT!CY$3,bfy1990_)),0)</f>
        <v>0</v>
      </c>
      <c r="CZ87" s="122">
        <f>ROUND(IF(ISERROR(DAVERAGE(_xlnm.Database,FILESTAT!CZ$3,bfy1990_)),0,DAVERAGE(_xlnm.Database,FILESTAT!CZ$3,bfy1990_)),0)</f>
        <v>0</v>
      </c>
      <c r="DA87" s="122">
        <f>ROUND(IF(ISERROR(DAVERAGE(_xlnm.Database,FILESTAT!DA$3,bfy1990_)),0,DAVERAGE(_xlnm.Database,FILESTAT!DA$3,bfy1990_)),0)</f>
        <v>0</v>
      </c>
      <c r="DB87" s="122">
        <f>ROUND(IF(ISERROR(DAVERAGE(_xlnm.Database,FILESTAT!DB$3,bfy1990_)),0,DAVERAGE(_xlnm.Database,FILESTAT!DB$3,bfy1990_)),0)</f>
        <v>0</v>
      </c>
      <c r="DC87" s="122">
        <f>ROUND(IF(ISERROR(DAVERAGE(_xlnm.Database,FILESTAT!DC$3,bfy1990_)),0,DAVERAGE(_xlnm.Database,FILESTAT!DC$3,bfy1990_)),0)</f>
        <v>0</v>
      </c>
      <c r="DD87" s="122">
        <f>ROUND(IF(ISERROR(DAVERAGE(_xlnm.Database,FILESTAT!DD$3,bfy1990_)),0,DAVERAGE(_xlnm.Database,FILESTAT!DD$3,bfy1990_)),0)</f>
        <v>0</v>
      </c>
      <c r="DE87" s="122">
        <f>ROUND(IF(ISERROR(DAVERAGE(_xlnm.Database,FILESTAT!DE$3,bfy1990_)),0,DAVERAGE(_xlnm.Database,FILESTAT!DE$3,bfy1990_)),0)</f>
        <v>0</v>
      </c>
      <c r="DF87" s="122">
        <f>ROUND(IF(ISERROR(DAVERAGE(_xlnm.Database,FILESTAT!DF$3,bfy1990_)),0,DAVERAGE(_xlnm.Database,FILESTAT!DF$3,bfy1990_)),0)</f>
        <v>0</v>
      </c>
      <c r="DG87" s="122">
        <f>ROUND(IF(ISERROR(DAVERAGE(_xlnm.Database,FILESTAT!DG$3,bfy1990_)),0,DAVERAGE(_xlnm.Database,FILESTAT!DG$3,bfy1990_)),0)</f>
        <v>0</v>
      </c>
      <c r="DH87" s="122">
        <f>ROUND(IF(ISERROR(DAVERAGE(_xlnm.Database,FILESTAT!DH$3,bfy1990_)),0,DAVERAGE(_xlnm.Database,FILESTAT!DH$3,bfy1990_)),0)</f>
        <v>0</v>
      </c>
      <c r="DI87" s="122">
        <f>ROUND(IF(ISERROR(DAVERAGE(_xlnm.Database,FILESTAT!DI$3,bfy1990_)),0,DAVERAGE(_xlnm.Database,FILESTAT!DI$3,bfy1990_)),0)</f>
        <v>0</v>
      </c>
      <c r="DJ87" s="122">
        <f>ROUND(IF(ISERROR(DAVERAGE(_xlnm.Database,FILESTAT!DJ$3,bfy1990_)),0,DAVERAGE(_xlnm.Database,FILESTAT!DJ$3,bfy1990_)),0)</f>
        <v>0</v>
      </c>
      <c r="DK87" s="122"/>
      <c r="DL87" s="122">
        <f>ROUND(IF(ISERROR(DAVERAGE(_xlnm.Database,FILESTAT!DL$3,bfy1990_)),0,DAVERAGE(_xlnm.Database,FILESTAT!DL$3,bfy1990_)),0)</f>
        <v>0</v>
      </c>
      <c r="DM87" s="122">
        <f>ROUND(IF(ISERROR(DAVERAGE(_xlnm.Database,FILESTAT!DM$3,bfy1990_)),0,DAVERAGE(_xlnm.Database,FILESTAT!DM$3,bfy1990_)),0)</f>
        <v>0</v>
      </c>
      <c r="DN87" s="122">
        <f>ROUND(IF(ISERROR(DAVERAGE(_xlnm.Database,FILESTAT!DN$3,bfy1990_)),0,DAVERAGE(_xlnm.Database,FILESTAT!DN$3,bfy1990_)),0)</f>
        <v>0</v>
      </c>
      <c r="DO87" s="122">
        <f>ROUND(IF(ISERROR(DAVERAGE(_xlnm.Database,FILESTAT!DO$3,bfy1990_)),0,DAVERAGE(_xlnm.Database,FILESTAT!DO$3,bfy1990_)),0)</f>
        <v>0</v>
      </c>
      <c r="DP87" s="122">
        <f>ROUND(IF(ISERROR(DAVERAGE(_xlnm.Database,FILESTAT!DP$3,bfy1990_)),0,DAVERAGE(_xlnm.Database,FILESTAT!DP$3,bfy1990_)),0)</f>
        <v>0</v>
      </c>
      <c r="DQ87" s="122">
        <f>ROUND(IF(ISERROR(DAVERAGE(_xlnm.Database,FILESTAT!DQ$3,bfy1990_)),0,DAVERAGE(_xlnm.Database,FILESTAT!DQ$3,bfy1990_)),0)</f>
        <v>0</v>
      </c>
      <c r="DR87" s="122"/>
      <c r="DS87" s="122">
        <f>ROUND(IF(ISERROR(DAVERAGE(_xlnm.Database,FILESTAT!DS$3,bfy1990_)),0,DAVERAGE(_xlnm.Database,FILESTAT!DS$3,bfy1990_)),0)</f>
        <v>0</v>
      </c>
      <c r="DT87" s="122">
        <f>ROUND(IF(ISERROR(DAVERAGE(_xlnm.Database,FILESTAT!DT$3,bfy1990_)),0,DAVERAGE(_xlnm.Database,FILESTAT!DT$3,bfy1990_)),0)</f>
        <v>0</v>
      </c>
      <c r="DU87" s="122">
        <f>ROUND(IF(ISERROR(DAVERAGE(_xlnm.Database,FILESTAT!DU$3,bfy1990_)),0,DAVERAGE(_xlnm.Database,FILESTAT!DU$3,bfy1990_)),0)</f>
        <v>0</v>
      </c>
      <c r="DV87" s="127">
        <f t="shared" ref="DV87:DV98" si="212">SUM(BV87:DU87)</f>
        <v>0</v>
      </c>
      <c r="DW87" s="128"/>
    </row>
    <row r="88" spans="1:129" s="111" customFormat="1">
      <c r="A88" s="228">
        <v>1991</v>
      </c>
      <c r="B88" s="24"/>
      <c r="C88" s="121">
        <f>ROUND(IF(ISERROR(DAVERAGE(_xlnm.Database,FILESTAT!C$3,bfy1991_)),0,DAVERAGE(_xlnm.Database,FILESTAT!C$3,bfy1991_)),0)</f>
        <v>4</v>
      </c>
      <c r="D88" s="122">
        <f>ROUND(IF(ISERROR(DAVERAGE(_xlnm.Database,FILESTAT!D$3,bfy1991_)),0,DAVERAGE(_xlnm.Database,FILESTAT!D$3,bfy1991_)),0)</f>
        <v>16</v>
      </c>
      <c r="E88" s="122">
        <f>ROUND(IF(ISERROR(DAVERAGE(_xlnm.Database,FILESTAT!E$3,bfy1991_)),0,DAVERAGE(_xlnm.Database,FILESTAT!E$3,bfy1991_)),0)</f>
        <v>3</v>
      </c>
      <c r="F88" s="122">
        <f>ROUND(IF(ISERROR(DAVERAGE(_xlnm.Database,FILESTAT!F$3,bfy1991_)),0,DAVERAGE(_xlnm.Database,FILESTAT!F$3,bfy1991_)),0)</f>
        <v>0</v>
      </c>
      <c r="G88" s="122">
        <f>ROUND(IF(ISERROR(DAVERAGE(_xlnm.Database,FILESTAT!G$3,bfy1991_)),0,DAVERAGE(_xlnm.Database,FILESTAT!G$3,bfy1991_)),0)</f>
        <v>2</v>
      </c>
      <c r="H88" s="122">
        <f>ROUND(IF(ISERROR(DAVERAGE(_xlnm.Database,FILESTAT!H$3,bfy1991_)),0,DAVERAGE(_xlnm.Database,FILESTAT!H$3,bfy1991_)),0)</f>
        <v>2</v>
      </c>
      <c r="I88" s="122">
        <f>ROUND(IF(ISERROR(DAVERAGE(_xlnm.Database,FILESTAT!I$3,bfy1991_)),0,DAVERAGE(_xlnm.Database,FILESTAT!I$3,bfy1991_)),0)</f>
        <v>0</v>
      </c>
      <c r="J88" s="122">
        <f>ROUND(IF(ISERROR(DAVERAGE(_xlnm.Database,FILESTAT!J$3,bfy1991_)),0,DAVERAGE(_xlnm.Database,FILESTAT!J$3,bfy1991_)),0)</f>
        <v>0</v>
      </c>
      <c r="K88" s="122">
        <f>ROUND(IF(ISERROR(DAVERAGE(_xlnm.Database,FILESTAT!K$3,bfy1991_)),0,DAVERAGE(_xlnm.Database,FILESTAT!K$3,bfy1991_)),0)</f>
        <v>0</v>
      </c>
      <c r="L88" s="122">
        <f>ROUND(IF(ISERROR(DAVERAGE(_xlnm.Database,FILESTAT!L$3,bfy1991_)),0,DAVERAGE(_xlnm.Database,FILESTAT!L$3,bfy1991_)),0)</f>
        <v>0</v>
      </c>
      <c r="M88" s="122">
        <f>ROUND(IF(ISERROR(DAVERAGE(_xlnm.Database,FILESTAT!M$3,bfy1991_)),0,DAVERAGE(_xlnm.Database,FILESTAT!M$3,bfy1991_)),0)</f>
        <v>0</v>
      </c>
      <c r="N88" s="122">
        <f>ROUND(IF(ISERROR(DAVERAGE(_xlnm.Database,FILESTAT!N$3,bfy1991_)),0,DAVERAGE(_xlnm.Database,FILESTAT!N$3,bfy1991_)),0)</f>
        <v>0</v>
      </c>
      <c r="O88" s="122">
        <f>ROUND(IF(ISERROR(DAVERAGE(_xlnm.Database,FILESTAT!O$3,bfy1991_)),0,DAVERAGE(_xlnm.Database,FILESTAT!O$3,bfy1991_)),0)</f>
        <v>17</v>
      </c>
      <c r="P88" s="122">
        <f>ROUND(IF(ISERROR(DAVERAGE(_xlnm.Database,FILESTAT!P$3,bfy1991_)),0,DAVERAGE(_xlnm.Database,FILESTAT!P$3,bfy1991_)),0)</f>
        <v>0</v>
      </c>
      <c r="Q88" s="122">
        <f>ROUND(IF(ISERROR(DAVERAGE(_xlnm.Database,FILESTAT!Q$3,bfy1991_)),0,DAVERAGE(_xlnm.Database,FILESTAT!Q$3,bfy1991_)),0)</f>
        <v>0</v>
      </c>
      <c r="R88" s="122">
        <f>ROUND(IF(ISERROR(DAVERAGE(_xlnm.Database,FILESTAT!R$3,bfy1991_)),0,DAVERAGE(_xlnm.Database,FILESTAT!R$3,bfy1991_)),0)</f>
        <v>0</v>
      </c>
      <c r="S88" s="120">
        <f t="shared" si="211"/>
        <v>44</v>
      </c>
      <c r="T88" s="122">
        <f>ROUND(IF(ISERROR(DAVERAGE(_xlnm.Database,FILESTAT!T$3,bfy1991_)),0,DAVERAGE(_xlnm.Database,FILESTAT!T$3,bfy1991_)),0)</f>
        <v>0</v>
      </c>
      <c r="U88" s="122">
        <f>ROUND(IF(ISERROR(DAVERAGE(_xlnm.Database,FILESTAT!U$3,bfy1991_)),0,DAVERAGE(_xlnm.Database,FILESTAT!U$3,bfy1991_)),0)</f>
        <v>0</v>
      </c>
      <c r="V88" s="122"/>
      <c r="W88" s="122">
        <f>ROUND(IF(ISERROR(DAVERAGE(_xlnm.Database,FILESTAT!W$3,bfy1991_)),0,DAVERAGE(_xlnm.Database,FILESTAT!W$3,bfy1991_)),0)</f>
        <v>0</v>
      </c>
      <c r="X88" s="123">
        <f>ROUND(IF(ISERROR(DAVERAGE(_xlnm.Database,FILESTAT!X$3,bfy1991_)),0,DAVERAGE(_xlnm.Database,FILESTAT!X$3,bfy1991_)),0)</f>
        <v>0</v>
      </c>
      <c r="Z88" s="121">
        <f>ROUND(IF(ISERROR(DAVERAGE(_xlnm.Database,FILESTAT!Z$3,bfy1991_)),0,DAVERAGE(_xlnm.Database,FILESTAT!Z$3,bfy1991_)),0)</f>
        <v>0</v>
      </c>
      <c r="AA88" s="122">
        <f>ROUND(IF(ISERROR(DAVERAGE(_xlnm.Database,FILESTAT!AA$3,bfy1991_)),0,DAVERAGE(_xlnm.Database,FILESTAT!AA$3,bfy1991_)),0)</f>
        <v>0</v>
      </c>
      <c r="AB88" s="122"/>
      <c r="AC88" s="121">
        <f>ROUND(IF(ISERROR(DAVERAGE(_xlnm.Database,FILESTAT!AC$3,bfy1991_)),0,DAVERAGE(_xlnm.Database,FILESTAT!AC$3,bfy1991_)),0)</f>
        <v>0</v>
      </c>
      <c r="AD88" s="122">
        <f>ROUND(IF(ISERROR(DAVERAGE(_xlnm.Database,FILESTAT!AD$3,bfy1991_)),0,DAVERAGE(_xlnm.Database,FILESTAT!AD$3,bfy1991_)),0)</f>
        <v>0</v>
      </c>
      <c r="AE88" s="120"/>
      <c r="AG88" s="121">
        <f>ROUND(IF(ISERROR(DAVERAGE(_xlnm.Database,FILESTAT!AG$3,bfy1991_)),0,DAVERAGE(_xlnm.Database,FILESTAT!AG$3,bfy1991_)),0)</f>
        <v>77</v>
      </c>
      <c r="AH88" s="122">
        <f>ROUND(IF(ISERROR(DAVERAGE(_xlnm.Database,FILESTAT!AH$3,bfy1991_)),0,DAVERAGE(_xlnm.Database,FILESTAT!AH$3,bfy1991_)),0)</f>
        <v>10</v>
      </c>
      <c r="AI88" s="122">
        <f>ROUND(IF(ISERROR(DAVERAGE(_xlnm.Database,FILESTAT!AI$3,bfy1991_)),0,DAVERAGE(_xlnm.Database,FILESTAT!AI$3,bfy1991_)),0)</f>
        <v>131</v>
      </c>
      <c r="AJ88" s="123">
        <f>ROUND(IF(ISERROR(DAVERAGE(_xlnm.Database,FILESTAT!AJ$3,bfy1991_)),0,DAVERAGE(_xlnm.Database,FILESTAT!AJ$3,bfy1991_)),0)</f>
        <v>18</v>
      </c>
      <c r="AL88" s="121">
        <f>ROUND(IF(ISERROR(DAVERAGE(_xlnm.Database,FILESTAT!AL$3,bfy1991_)),0,DAVERAGE(_xlnm.Database,FILESTAT!AL$3,bfy1991_)),0)</f>
        <v>0</v>
      </c>
      <c r="AM88" s="122">
        <f>ROUND(IF(ISERROR(DAVERAGE(_xlnm.Database,FILESTAT!AM$3,bfy1991_)),0,DAVERAGE(_xlnm.Database,FILESTAT!AM$3,bfy1991_)),0)</f>
        <v>0</v>
      </c>
      <c r="AN88" s="120">
        <f>SUM(AL88:AM88)</f>
        <v>0</v>
      </c>
      <c r="AO88" s="122">
        <f>ROUND(IF(ISERROR(DAVERAGE(_xlnm.Database,FILESTAT!AO$3,bfy1991_)),0,DAVERAGE(_xlnm.Database,FILESTAT!AO$3,bfy1991_)),0)</f>
        <v>0</v>
      </c>
      <c r="AP88" s="122">
        <f>ROUND(IF(ISERROR(DAVERAGE(_xlnm.Database,FILESTAT!AP$3,bfy1991_)),0,DAVERAGE(_xlnm.Database,FILESTAT!AP$3,bfy1991_)),0)</f>
        <v>0</v>
      </c>
      <c r="AQ88" s="120">
        <f>SUM(AO88:AP88)</f>
        <v>0</v>
      </c>
      <c r="AR88" s="122">
        <f>ROUND(IF(ISERROR(DAVERAGE(_xlnm.Database,FILESTAT!AR$3,bfy1991_)),0,DAVERAGE(_xlnm.Database,FILESTAT!AR$3,bfy1991_)),0)</f>
        <v>0</v>
      </c>
      <c r="AS88" s="122">
        <f>ROUND(IF(ISERROR(DAVERAGE(_xlnm.Database,FILESTAT!AS$3,bfy1991_)),0,DAVERAGE(_xlnm.Database,FILESTAT!AS$3,bfy1991_)),0)</f>
        <v>0</v>
      </c>
      <c r="AT88" s="122">
        <f>ROUND(IF(ISERROR(DAVERAGE(_xlnm.Database,FILESTAT!AT$3,bfy1991_)),0,DAVERAGE(_xlnm.Database,FILESTAT!AT$3,bfy1991_)),0)</f>
        <v>0</v>
      </c>
      <c r="AU88" s="122">
        <f>ROUND(IF(ISERROR(DAVERAGE(_xlnm.Database,FILESTAT!AU$3,bfy1991_)),0,DAVERAGE(_xlnm.Database,FILESTAT!AU$3,bfy1991_)),0)</f>
        <v>0</v>
      </c>
      <c r="AV88" s="123">
        <f>ROUND(IF(ISERROR(DAVERAGE(_xlnm.Database,FILESTAT!AV$3,bfy1991_)),0,DAVERAGE(_xlnm.Database,FILESTAT!AV$3,bfy1991_)),0)</f>
        <v>0</v>
      </c>
      <c r="AW88"/>
      <c r="AX88" s="356"/>
      <c r="AY88"/>
      <c r="BA88" s="121">
        <f>ROUND(IF(ISERROR(DAVERAGE(_xlnm.Database,FILESTAT!BA$3,bfy1991_)),0,DAVERAGE(_xlnm.Database,FILESTAT!BA$3,bfy1991_)),0)</f>
        <v>1558</v>
      </c>
      <c r="BB88" s="122">
        <f>ROUND(IF(ISERROR(DAVERAGE(_xlnm.Database,FILESTAT!BB$3,bfy1991_)),0,DAVERAGE(_xlnm.Database,FILESTAT!BB$3,bfy1991_)),0)</f>
        <v>0</v>
      </c>
      <c r="BC88" s="122">
        <f>ROUND(IF(ISERROR(DAVERAGE(_xlnm.Database,FILESTAT!BC$3,bfy1991_)),0,DAVERAGE(_xlnm.Database,FILESTAT!BC$3,bfy1991_)),0)</f>
        <v>19111936</v>
      </c>
      <c r="BD88" s="122"/>
      <c r="BE88" s="122">
        <f>ROUND(IF(ISERROR(DAVERAGE(_xlnm.Database,FILESTAT!BE$3,bfy1991_)),0,DAVERAGE(_xlnm.Database,FILESTAT!BE$3,bfy1991_)),0)</f>
        <v>0</v>
      </c>
      <c r="BF88" s="122">
        <f>ROUND(IF(ISERROR(DAVERAGE(_xlnm.Database,FILESTAT!BF$3,bfy1991_)),0,DAVERAGE(_xlnm.Database,FILESTAT!BF$3,bfy1991_)),0)</f>
        <v>0</v>
      </c>
      <c r="BG88" s="122">
        <f>ROUND(IF(ISERROR(DAVERAGE(_xlnm.Database,FILESTAT!BG$3,bfy1991_)),0,DAVERAGE(_xlnm.Database,FILESTAT!BG$3,bfy1991_)),0)</f>
        <v>0</v>
      </c>
      <c r="BH88" s="122"/>
      <c r="BI88" s="122">
        <f>ROUND(IF(ISERROR(DAVERAGE(_xlnm.Database,FILESTAT!BI$3,bfy1991_)),0,DAVERAGE(_xlnm.Database,FILESTAT!BI$3,bfy1991_)),0)</f>
        <v>0</v>
      </c>
      <c r="BJ88" s="122"/>
      <c r="BK88" s="122"/>
      <c r="BL88" s="122"/>
      <c r="BM88" s="123">
        <f>ROUND(IF(ISERROR(DAVERAGE(_xlnm.Database,FILESTAT!BM$3,bfy1991_)),0,DAVERAGE(_xlnm.Database,FILESTAT!BM$3,bfy1991_)),0)</f>
        <v>3490</v>
      </c>
      <c r="BO88" s="121">
        <f>ROUND(IF(ISERROR(DAVERAGE(_xlnm.Database,FILESTAT!BO$3,bfy1991_)),0,DAVERAGE(_xlnm.Database,FILESTAT!BO$3,bfy1991_)),0)</f>
        <v>0</v>
      </c>
      <c r="BP88" s="123">
        <f>ROUND(IF(ISERROR(DAVERAGE(_xlnm.Database,FILESTAT!BP$3,bfy1991_)),0,DAVERAGE(_xlnm.Database,FILESTAT!BP$3,bfy1991_)),0)</f>
        <v>0</v>
      </c>
      <c r="BR88" s="250"/>
      <c r="BS88" s="178"/>
      <c r="BT88" s="251"/>
      <c r="BV88" s="121">
        <f>ROUND(IF(ISERROR(DAVERAGE(_xlnm.Database,FILESTAT!BV$3,bfy1991_)),0,DAVERAGE(_xlnm.Database,FILESTAT!BV$3,bfy1991_)),0)</f>
        <v>0</v>
      </c>
      <c r="BW88" s="122">
        <f>ROUND(IF(ISERROR(DAVERAGE(_xlnm.Database,FILESTAT!BW$3,bfy1991_)),0,DAVERAGE(_xlnm.Database,FILESTAT!BW$3,bfy1991_)),0)</f>
        <v>0</v>
      </c>
      <c r="BX88" s="122">
        <f>ROUND(IF(ISERROR(DAVERAGE(_xlnm.Database,FILESTAT!BX$3,bfy1991_)),0,DAVERAGE(_xlnm.Database,FILESTAT!BX$3,bfy1991_)),0)</f>
        <v>0</v>
      </c>
      <c r="BY88" s="122">
        <f>ROUND(IF(ISERROR(DAVERAGE(_xlnm.Database,FILESTAT!BY$3,bfy1991_)),0,DAVERAGE(_xlnm.Database,FILESTAT!BY$3,bfy1991_)),0)</f>
        <v>0</v>
      </c>
      <c r="BZ88" s="122">
        <f>ROUND(IF(ISERROR(DAVERAGE(_xlnm.Database,FILESTAT!BZ$3,bfy1991_)),0,DAVERAGE(_xlnm.Database,FILESTAT!BZ$3,bfy1991_)),0)</f>
        <v>0</v>
      </c>
      <c r="CA88" s="122">
        <f>ROUND(IF(ISERROR(DAVERAGE(_xlnm.Database,FILESTAT!CA$3,bfy1991_)),0,DAVERAGE(_xlnm.Database,FILESTAT!CA$3,bfy1991_)),0)</f>
        <v>0</v>
      </c>
      <c r="CB88" s="122">
        <f>ROUND(IF(ISERROR(DAVERAGE(_xlnm.Database,FILESTAT!CB$3,bfy1991_)),0,DAVERAGE(_xlnm.Database,FILESTAT!CB$3,bfy1991_)),0)</f>
        <v>0</v>
      </c>
      <c r="CC88" s="122"/>
      <c r="CD88" s="122">
        <f>ROUND(IF(ISERROR(DAVERAGE(_xlnm.Database,FILESTAT!CD$3,bfy1991_)),0,DAVERAGE(_xlnm.Database,FILESTAT!CD$3,bfy1991_)),0)</f>
        <v>0</v>
      </c>
      <c r="CE88" s="122">
        <f>ROUND(IF(ISERROR(DAVERAGE(_xlnm.Database,FILESTAT!CE$3,bfy1991_)),0,DAVERAGE(_xlnm.Database,FILESTAT!CE$3,bfy1991_)),0)</f>
        <v>0</v>
      </c>
      <c r="CF88" s="122">
        <f>ROUND(IF(ISERROR(DAVERAGE(_xlnm.Database,FILESTAT!CF$3,bfy1991_)),0,DAVERAGE(_xlnm.Database,FILESTAT!CF$3,bfy1991_)),0)</f>
        <v>0</v>
      </c>
      <c r="CG88" s="122">
        <f>ROUND(IF(ISERROR(DAVERAGE(_xlnm.Database,FILESTAT!CG$3,bfy1991_)),0,DAVERAGE(_xlnm.Database,FILESTAT!CG$3,bfy1991_)),0)</f>
        <v>0</v>
      </c>
      <c r="CH88" s="122">
        <f>ROUND(IF(ISERROR(DAVERAGE(_xlnm.Database,FILESTAT!CH$3,bfy1991_)),0,DAVERAGE(_xlnm.Database,FILESTAT!CH$3,bfy1991_)),0)</f>
        <v>0</v>
      </c>
      <c r="CI88" s="122">
        <f>ROUND(IF(ISERROR(DAVERAGE(_xlnm.Database,FILESTAT!CI$3,bfy1991_)),0,DAVERAGE(_xlnm.Database,FILESTAT!CI$3,bfy1991_)),0)</f>
        <v>0</v>
      </c>
      <c r="CJ88" s="122">
        <f>ROUND(IF(ISERROR(DAVERAGE(_xlnm.Database,FILESTAT!CJ$3,bfy1991_)),0,DAVERAGE(_xlnm.Database,FILESTAT!CJ$3,bfy1991_)),0)</f>
        <v>0</v>
      </c>
      <c r="CK88" s="122"/>
      <c r="CL88" s="122"/>
      <c r="CM88" s="122">
        <f>ROUND(IF(ISERROR(DAVERAGE(_xlnm.Database,FILESTAT!CM$3,bfy1991_)),0,DAVERAGE(_xlnm.Database,FILESTAT!CM$3,bfy1991_)),0)</f>
        <v>0</v>
      </c>
      <c r="CN88" s="122">
        <f>ROUND(IF(ISERROR(DAVERAGE(_xlnm.Database,FILESTAT!CN$3,bfy1991_)),0,DAVERAGE(_xlnm.Database,FILESTAT!CN$3,bfy1991_)),0)</f>
        <v>0</v>
      </c>
      <c r="CO88" s="122">
        <f>ROUND(IF(ISERROR(DAVERAGE(_xlnm.Database,FILESTAT!CO$3,bfy1991_)),0,DAVERAGE(_xlnm.Database,FILESTAT!CO$3,bfy1991_)),0)</f>
        <v>0</v>
      </c>
      <c r="CP88" s="122"/>
      <c r="CQ88" s="122">
        <f>ROUND(IF(ISERROR(DAVERAGE(_xlnm.Database,FILESTAT!CQ$3,bfy1991_)),0,DAVERAGE(_xlnm.Database,FILESTAT!CQ$3,bfy1991_)),0)</f>
        <v>0</v>
      </c>
      <c r="CR88" s="122"/>
      <c r="CS88" s="122">
        <f>ROUND(IF(ISERROR(DAVERAGE(_xlnm.Database,FILESTAT!CS$3,bfy1991_)),0,DAVERAGE(_xlnm.Database,FILESTAT!CS$3,bfy1991_)),0)</f>
        <v>0</v>
      </c>
      <c r="CT88" s="122">
        <f>ROUND(IF(ISERROR(DAVERAGE(_xlnm.Database,FILESTAT!CT$3,bfy1991_)),0,DAVERAGE(_xlnm.Database,FILESTAT!CT$3,bfy1991_)),0)</f>
        <v>0</v>
      </c>
      <c r="CU88" s="122">
        <f>ROUND(IF(ISERROR(DAVERAGE(_xlnm.Database,FILESTAT!CU$3,bfy1991_)),0,DAVERAGE(_xlnm.Database,FILESTAT!CU$3,bfy1991_)),0)</f>
        <v>0</v>
      </c>
      <c r="CV88" s="122">
        <f>ROUND(IF(ISERROR(DAVERAGE(_xlnm.Database,FILESTAT!CV$3,bfy1991_)),0,DAVERAGE(_xlnm.Database,FILESTAT!CV$3,bfy1991_)),0)</f>
        <v>0</v>
      </c>
      <c r="CW88" s="122">
        <f>ROUND(IF(ISERROR(DAVERAGE(_xlnm.Database,FILESTAT!CW$3,bfy1991_)),0,DAVERAGE(_xlnm.Database,FILESTAT!CW$3,bfy1991_)),0)</f>
        <v>0</v>
      </c>
      <c r="CX88" s="122"/>
      <c r="CY88" s="122">
        <f>ROUND(IF(ISERROR(DAVERAGE(_xlnm.Database,FILESTAT!CY$3,bfy1991_)),0,DAVERAGE(_xlnm.Database,FILESTAT!CY$3,bfy1991_)),0)</f>
        <v>0</v>
      </c>
      <c r="CZ88" s="122">
        <f>ROUND(IF(ISERROR(DAVERAGE(_xlnm.Database,FILESTAT!CZ$3,bfy1991_)),0,DAVERAGE(_xlnm.Database,FILESTAT!CZ$3,bfy1991_)),0)</f>
        <v>0</v>
      </c>
      <c r="DA88" s="122">
        <f>ROUND(IF(ISERROR(DAVERAGE(_xlnm.Database,FILESTAT!DA$3,bfy1991_)),0,DAVERAGE(_xlnm.Database,FILESTAT!DA$3,bfy1991_)),0)</f>
        <v>0</v>
      </c>
      <c r="DB88" s="122">
        <f>ROUND(IF(ISERROR(DAVERAGE(_xlnm.Database,FILESTAT!DB$3,bfy1991_)),0,DAVERAGE(_xlnm.Database,FILESTAT!DB$3,bfy1991_)),0)</f>
        <v>0</v>
      </c>
      <c r="DC88" s="122">
        <f>ROUND(IF(ISERROR(DAVERAGE(_xlnm.Database,FILESTAT!DC$3,bfy1991_)),0,DAVERAGE(_xlnm.Database,FILESTAT!DC$3,bfy1991_)),0)</f>
        <v>0</v>
      </c>
      <c r="DD88" s="122">
        <f>ROUND(IF(ISERROR(DAVERAGE(_xlnm.Database,FILESTAT!DD$3,bfy1991_)),0,DAVERAGE(_xlnm.Database,FILESTAT!DD$3,bfy1991_)),0)</f>
        <v>0</v>
      </c>
      <c r="DE88" s="122">
        <f>ROUND(IF(ISERROR(DAVERAGE(_xlnm.Database,FILESTAT!DE$3,bfy1991_)),0,DAVERAGE(_xlnm.Database,FILESTAT!DE$3,bfy1991_)),0)</f>
        <v>0</v>
      </c>
      <c r="DF88" s="122">
        <f>ROUND(IF(ISERROR(DAVERAGE(_xlnm.Database,FILESTAT!DF$3,bfy1991_)),0,DAVERAGE(_xlnm.Database,FILESTAT!DF$3,bfy1991_)),0)</f>
        <v>0</v>
      </c>
      <c r="DG88" s="122">
        <f>ROUND(IF(ISERROR(DAVERAGE(_xlnm.Database,FILESTAT!DG$3,bfy1991_)),0,DAVERAGE(_xlnm.Database,FILESTAT!DG$3,bfy1991_)),0)</f>
        <v>0</v>
      </c>
      <c r="DH88" s="122">
        <f>ROUND(IF(ISERROR(DAVERAGE(_xlnm.Database,FILESTAT!DH$3,bfy1991_)),0,DAVERAGE(_xlnm.Database,FILESTAT!DH$3,bfy1991_)),0)</f>
        <v>0</v>
      </c>
      <c r="DI88" s="122">
        <f>ROUND(IF(ISERROR(DAVERAGE(_xlnm.Database,FILESTAT!DI$3,bfy1991_)),0,DAVERAGE(_xlnm.Database,FILESTAT!DI$3,bfy1991_)),0)</f>
        <v>0</v>
      </c>
      <c r="DJ88" s="122">
        <f>ROUND(IF(ISERROR(DAVERAGE(_xlnm.Database,FILESTAT!DJ$3,bfy1991_)),0,DAVERAGE(_xlnm.Database,FILESTAT!DJ$3,bfy1991_)),0)</f>
        <v>0</v>
      </c>
      <c r="DK88" s="122"/>
      <c r="DL88" s="122">
        <f>ROUND(IF(ISERROR(DAVERAGE(_xlnm.Database,FILESTAT!DL$3,bfy1991_)),0,DAVERAGE(_xlnm.Database,FILESTAT!DL$3,bfy1991_)),0)</f>
        <v>0</v>
      </c>
      <c r="DM88" s="122">
        <f>ROUND(IF(ISERROR(DAVERAGE(_xlnm.Database,FILESTAT!DM$3,bfy1991_)),0,DAVERAGE(_xlnm.Database,FILESTAT!DM$3,bfy1991_)),0)</f>
        <v>0</v>
      </c>
      <c r="DN88" s="122">
        <f>ROUND(IF(ISERROR(DAVERAGE(_xlnm.Database,FILESTAT!DN$3,bfy1991_)),0,DAVERAGE(_xlnm.Database,FILESTAT!DN$3,bfy1991_)),0)</f>
        <v>0</v>
      </c>
      <c r="DO88" s="122">
        <f>ROUND(IF(ISERROR(DAVERAGE(_xlnm.Database,FILESTAT!DO$3,bfy1991_)),0,DAVERAGE(_xlnm.Database,FILESTAT!DO$3,bfy1991_)),0)</f>
        <v>0</v>
      </c>
      <c r="DP88" s="122">
        <f>ROUND(IF(ISERROR(DAVERAGE(_xlnm.Database,FILESTAT!DP$3,bfy1991_)),0,DAVERAGE(_xlnm.Database,FILESTAT!DP$3,bfy1991_)),0)</f>
        <v>0</v>
      </c>
      <c r="DQ88" s="122">
        <f>ROUND(IF(ISERROR(DAVERAGE(_xlnm.Database,FILESTAT!DQ$3,bfy1991_)),0,DAVERAGE(_xlnm.Database,FILESTAT!DQ$3,bfy1991_)),0)</f>
        <v>0</v>
      </c>
      <c r="DR88" s="122"/>
      <c r="DS88" s="122">
        <f>ROUND(IF(ISERROR(DAVERAGE(_xlnm.Database,FILESTAT!DS$3,bfy1991_)),0,DAVERAGE(_xlnm.Database,FILESTAT!DS$3,bfy1991_)),0)</f>
        <v>0</v>
      </c>
      <c r="DT88" s="122">
        <f>ROUND(IF(ISERROR(DAVERAGE(_xlnm.Database,FILESTAT!DT$3,bfy1991_)),0,DAVERAGE(_xlnm.Database,FILESTAT!DT$3,bfy1991_)),0)</f>
        <v>0</v>
      </c>
      <c r="DU88" s="122">
        <f>ROUND(IF(ISERROR(DAVERAGE(_xlnm.Database,FILESTAT!DU$3,bfy1991_)),0,DAVERAGE(_xlnm.Database,FILESTAT!DU$3,bfy1991_)),0)</f>
        <v>0</v>
      </c>
      <c r="DV88" s="127">
        <f t="shared" si="212"/>
        <v>0</v>
      </c>
      <c r="DW88" s="128"/>
    </row>
    <row r="89" spans="1:129" s="111" customFormat="1">
      <c r="A89" s="228">
        <v>1992</v>
      </c>
      <c r="B89" s="24"/>
      <c r="C89" s="121">
        <f>ROUND(IF(ISERROR(DAVERAGE(_xlnm.Database,FILESTAT!C$3,bfy1992_)),0,DAVERAGE(_xlnm.Database,FILESTAT!C$3,bfy1992_)),0)</f>
        <v>4</v>
      </c>
      <c r="D89" s="122">
        <f>ROUND(IF(ISERROR(DAVERAGE(_xlnm.Database,FILESTAT!D$3,bfy1992_)),0,DAVERAGE(_xlnm.Database,FILESTAT!D$3,bfy1992_)),0)</f>
        <v>20</v>
      </c>
      <c r="E89" s="122">
        <f>ROUND(IF(ISERROR(DAVERAGE(_xlnm.Database,FILESTAT!E$3,bfy1992_)),0,DAVERAGE(_xlnm.Database,FILESTAT!E$3,bfy1992_)),0)</f>
        <v>5</v>
      </c>
      <c r="F89" s="122">
        <f>ROUND(IF(ISERROR(DAVERAGE(_xlnm.Database,FILESTAT!F$3,bfy1992_)),0,DAVERAGE(_xlnm.Database,FILESTAT!F$3,bfy1992_)),0)</f>
        <v>0</v>
      </c>
      <c r="G89" s="122">
        <f>ROUND(IF(ISERROR(DAVERAGE(_xlnm.Database,FILESTAT!G$3,bfy1992_)),0,DAVERAGE(_xlnm.Database,FILESTAT!G$3,bfy1992_)),0)</f>
        <v>2</v>
      </c>
      <c r="H89" s="122">
        <f>ROUND(IF(ISERROR(DAVERAGE(_xlnm.Database,FILESTAT!H$3,bfy1992_)),0,DAVERAGE(_xlnm.Database,FILESTAT!H$3,bfy1992_)),0)</f>
        <v>2</v>
      </c>
      <c r="I89" s="122">
        <f>ROUND(IF(ISERROR(DAVERAGE(_xlnm.Database,FILESTAT!I$3,bfy1992_)),0,DAVERAGE(_xlnm.Database,FILESTAT!I$3,bfy1992_)),0)</f>
        <v>0</v>
      </c>
      <c r="J89" s="122">
        <f>ROUND(IF(ISERROR(DAVERAGE(_xlnm.Database,FILESTAT!J$3,bfy1992_)),0,DAVERAGE(_xlnm.Database,FILESTAT!J$3,bfy1992_)),0)</f>
        <v>2</v>
      </c>
      <c r="K89" s="122">
        <f>ROUND(IF(ISERROR(DAVERAGE(_xlnm.Database,FILESTAT!K$3,bfy1992_)),0,DAVERAGE(_xlnm.Database,FILESTAT!K$3,bfy1992_)),0)</f>
        <v>0</v>
      </c>
      <c r="L89" s="122">
        <f>ROUND(IF(ISERROR(DAVERAGE(_xlnm.Database,FILESTAT!L$3,bfy1992_)),0,DAVERAGE(_xlnm.Database,FILESTAT!L$3,bfy1992_)),0)</f>
        <v>0</v>
      </c>
      <c r="M89" s="122">
        <f>ROUND(IF(ISERROR(DAVERAGE(_xlnm.Database,FILESTAT!M$3,bfy1992_)),0,DAVERAGE(_xlnm.Database,FILESTAT!M$3,bfy1992_)),0)</f>
        <v>0</v>
      </c>
      <c r="N89" s="122">
        <f>ROUND(IF(ISERROR(DAVERAGE(_xlnm.Database,FILESTAT!N$3,bfy1992_)),0,DAVERAGE(_xlnm.Database,FILESTAT!N$3,bfy1992_)),0)</f>
        <v>0</v>
      </c>
      <c r="O89" s="122">
        <f>ROUND(IF(ISERROR(DAVERAGE(_xlnm.Database,FILESTAT!O$3,bfy1992_)),0,DAVERAGE(_xlnm.Database,FILESTAT!O$3,bfy1992_)),0)</f>
        <v>13</v>
      </c>
      <c r="P89" s="122">
        <f>ROUND(IF(ISERROR(DAVERAGE(_xlnm.Database,FILESTAT!P$3,bfy1992_)),0,DAVERAGE(_xlnm.Database,FILESTAT!P$3,bfy1992_)),0)</f>
        <v>0</v>
      </c>
      <c r="Q89" s="122">
        <f>ROUND(IF(ISERROR(DAVERAGE(_xlnm.Database,FILESTAT!Q$3,bfy1992_)),0,DAVERAGE(_xlnm.Database,FILESTAT!Q$3,bfy1992_)),0)</f>
        <v>0</v>
      </c>
      <c r="R89" s="122">
        <f>ROUND(IF(ISERROR(DAVERAGE(_xlnm.Database,FILESTAT!R$3,bfy1992_)),0,DAVERAGE(_xlnm.Database,FILESTAT!R$3,bfy1992_)),0)</f>
        <v>0</v>
      </c>
      <c r="S89" s="120">
        <f t="shared" si="211"/>
        <v>48</v>
      </c>
      <c r="T89" s="122">
        <f>ROUND(IF(ISERROR(DAVERAGE(_xlnm.Database,FILESTAT!T$3,bfy1992_)),0,DAVERAGE(_xlnm.Database,FILESTAT!T$3,bfy1992_)),0)</f>
        <v>0</v>
      </c>
      <c r="U89" s="122">
        <f>ROUND(IF(ISERROR(DAVERAGE(_xlnm.Database,FILESTAT!U$3,bfy1992_)),0,DAVERAGE(_xlnm.Database,FILESTAT!U$3,bfy1992_)),0)</f>
        <v>0</v>
      </c>
      <c r="V89" s="122"/>
      <c r="W89" s="122">
        <f>ROUND(IF(ISERROR(DAVERAGE(_xlnm.Database,FILESTAT!W$3,bfy1992_)),0,DAVERAGE(_xlnm.Database,FILESTAT!W$3,bfy1992_)),0)</f>
        <v>0</v>
      </c>
      <c r="X89" s="123">
        <f>ROUND(IF(ISERROR(DAVERAGE(_xlnm.Database,FILESTAT!X$3,bfy1992_)),0,DAVERAGE(_xlnm.Database,FILESTAT!X$3,bfy1992_)),0)</f>
        <v>0</v>
      </c>
      <c r="Z89" s="121">
        <f>ROUND(IF(ISERROR(DAVERAGE(_xlnm.Database,FILESTAT!Z$3,bfy1992_)),0,DAVERAGE(_xlnm.Database,FILESTAT!Z$3,bfy1992_)),0)</f>
        <v>0</v>
      </c>
      <c r="AA89" s="122">
        <f>ROUND(IF(ISERROR(DAVERAGE(_xlnm.Database,FILESTAT!AA$3,bfy1992_)),0,DAVERAGE(_xlnm.Database,FILESTAT!AA$3,bfy1992_)),0)</f>
        <v>1114318</v>
      </c>
      <c r="AB89" s="122"/>
      <c r="AC89" s="121">
        <f>ROUND(IF(ISERROR(DAVERAGE(_xlnm.Database,FILESTAT!AC$3,bfy1992_)),0,DAVERAGE(_xlnm.Database,FILESTAT!AC$3,bfy1992_)),0)</f>
        <v>0</v>
      </c>
      <c r="AD89" s="122">
        <f>ROUND(IF(ISERROR(DAVERAGE(_xlnm.Database,FILESTAT!AD$3,bfy1992_)),0,DAVERAGE(_xlnm.Database,FILESTAT!AD$3,bfy1992_)),0)</f>
        <v>0</v>
      </c>
      <c r="AE89" s="120"/>
      <c r="AG89" s="121">
        <f>ROUND(IF(ISERROR(DAVERAGE(_xlnm.Database,FILESTAT!AG$3,bfy1992_)),0,DAVERAGE(_xlnm.Database,FILESTAT!AG$3,bfy1992_)),0)</f>
        <v>88</v>
      </c>
      <c r="AH89" s="122">
        <f>ROUND(IF(ISERROR(DAVERAGE(_xlnm.Database,FILESTAT!AH$3,bfy1992_)),0,DAVERAGE(_xlnm.Database,FILESTAT!AH$3,bfy1992_)),0)</f>
        <v>11</v>
      </c>
      <c r="AI89" s="122">
        <f>ROUND(IF(ISERROR(DAVERAGE(_xlnm.Database,FILESTAT!AI$3,bfy1992_)),0,DAVERAGE(_xlnm.Database,FILESTAT!AI$3,bfy1992_)),0)</f>
        <v>140</v>
      </c>
      <c r="AJ89" s="123">
        <f>ROUND(IF(ISERROR(DAVERAGE(_xlnm.Database,FILESTAT!AJ$3,bfy1992_)),0,DAVERAGE(_xlnm.Database,FILESTAT!AJ$3,bfy1992_)),0)</f>
        <v>21</v>
      </c>
      <c r="AL89" s="121">
        <f>ROUND(IF(ISERROR(DAVERAGE(_xlnm.Database,FILESTAT!AL$3,bfy1992_)),0,DAVERAGE(_xlnm.Database,FILESTAT!AL$3,bfy1992_)),0)</f>
        <v>0</v>
      </c>
      <c r="AM89" s="122">
        <f>ROUND(IF(ISERROR(DAVERAGE(_xlnm.Database,FILESTAT!AM$3,bfy1992_)),0,DAVERAGE(_xlnm.Database,FILESTAT!AM$3,bfy1992_)),0)</f>
        <v>0</v>
      </c>
      <c r="AN89" s="120">
        <f>SUM(AL89:AM89)</f>
        <v>0</v>
      </c>
      <c r="AO89" s="122">
        <f>ROUND(IF(ISERROR(DAVERAGE(_xlnm.Database,FILESTAT!AO$3,bfy1992_)),0,DAVERAGE(_xlnm.Database,FILESTAT!AO$3,bfy1992_)),0)</f>
        <v>0</v>
      </c>
      <c r="AP89" s="122">
        <f>ROUND(IF(ISERROR(DAVERAGE(_xlnm.Database,FILESTAT!AP$3,bfy1992_)),0,DAVERAGE(_xlnm.Database,FILESTAT!AP$3,bfy1992_)),0)</f>
        <v>0</v>
      </c>
      <c r="AQ89" s="120">
        <f>SUM(AO89:AP89)</f>
        <v>0</v>
      </c>
      <c r="AR89" s="122">
        <f>ROUND(IF(ISERROR(DAVERAGE(_xlnm.Database,FILESTAT!AR$3,bfy1992_)),0,DAVERAGE(_xlnm.Database,FILESTAT!AR$3,bfy1992_)),0)</f>
        <v>0</v>
      </c>
      <c r="AS89" s="122">
        <f>ROUND(IF(ISERROR(DAVERAGE(_xlnm.Database,FILESTAT!AS$3,bfy1992_)),0,DAVERAGE(_xlnm.Database,FILESTAT!AS$3,bfy1992_)),0)</f>
        <v>0</v>
      </c>
      <c r="AT89" s="122">
        <f>ROUND(IF(ISERROR(DAVERAGE(_xlnm.Database,FILESTAT!AT$3,bfy1992_)),0,DAVERAGE(_xlnm.Database,FILESTAT!AT$3,bfy1992_)),0)</f>
        <v>0</v>
      </c>
      <c r="AU89" s="122">
        <f>ROUND(IF(ISERROR(DAVERAGE(_xlnm.Database,FILESTAT!AU$3,bfy1992_)),0,DAVERAGE(_xlnm.Database,FILESTAT!AU$3,bfy1992_)),0)</f>
        <v>0</v>
      </c>
      <c r="AV89" s="123">
        <f>ROUND(IF(ISERROR(DAVERAGE(_xlnm.Database,FILESTAT!AV$3,bfy1992_)),0,DAVERAGE(_xlnm.Database,FILESTAT!AV$3,bfy1992_)),0)</f>
        <v>0</v>
      </c>
      <c r="AW89"/>
      <c r="AX89" s="356"/>
      <c r="AY89"/>
      <c r="BA89" s="121">
        <f>ROUND(IF(ISERROR(DAVERAGE(_xlnm.Database,FILESTAT!BA$3,bfy1992_)),0,DAVERAGE(_xlnm.Database,FILESTAT!BA$3,bfy1992_)),0)</f>
        <v>1552</v>
      </c>
      <c r="BB89" s="122">
        <f>ROUND(IF(ISERROR(DAVERAGE(_xlnm.Database,FILESTAT!BB$3,bfy1992_)),0,DAVERAGE(_xlnm.Database,FILESTAT!BB$3,bfy1992_)),0)</f>
        <v>0</v>
      </c>
      <c r="BC89" s="122">
        <f>ROUND(IF(ISERROR(DAVERAGE(_xlnm.Database,FILESTAT!BC$3,bfy1992_)),0,DAVERAGE(_xlnm.Database,FILESTAT!BC$3,bfy1992_)),0)</f>
        <v>17874944</v>
      </c>
      <c r="BD89" s="122"/>
      <c r="BE89" s="122">
        <f>ROUND(IF(ISERROR(DAVERAGE(_xlnm.Database,FILESTAT!BE$3,bfy1992_)),0,DAVERAGE(_xlnm.Database,FILESTAT!BE$3,bfy1992_)),0)</f>
        <v>0</v>
      </c>
      <c r="BF89" s="122">
        <f>ROUND(IF(ISERROR(DAVERAGE(_xlnm.Database,FILESTAT!BF$3,bfy1992_)),0,DAVERAGE(_xlnm.Database,FILESTAT!BF$3,bfy1992_)),0)</f>
        <v>0</v>
      </c>
      <c r="BG89" s="122">
        <f>ROUND(IF(ISERROR(DAVERAGE(_xlnm.Database,FILESTAT!BG$3,bfy1992_)),0,DAVERAGE(_xlnm.Database,FILESTAT!BG$3,bfy1992_)),0)</f>
        <v>0</v>
      </c>
      <c r="BH89" s="122"/>
      <c r="BI89" s="122">
        <f>ROUND(IF(ISERROR(DAVERAGE(_xlnm.Database,FILESTAT!BI$3,bfy1992_)),0,DAVERAGE(_xlnm.Database,FILESTAT!BI$3,bfy1992_)),0)</f>
        <v>0</v>
      </c>
      <c r="BJ89" s="122"/>
      <c r="BK89" s="122"/>
      <c r="BL89" s="122"/>
      <c r="BM89" s="123">
        <f>ROUND(IF(ISERROR(DAVERAGE(_xlnm.Database,FILESTAT!BM$3,bfy1992_)),0,DAVERAGE(_xlnm.Database,FILESTAT!BM$3,bfy1992_)),0)</f>
        <v>3494</v>
      </c>
      <c r="BO89" s="121">
        <f>ROUND(IF(ISERROR(DAVERAGE(_xlnm.Database,FILESTAT!BO$3,bfy1992_)),0,DAVERAGE(_xlnm.Database,FILESTAT!BO$3,bfy1992_)),0)</f>
        <v>0</v>
      </c>
      <c r="BP89" s="123">
        <f>ROUND(IF(ISERROR(DAVERAGE(_xlnm.Database,FILESTAT!BP$3,bfy1992_)),0,DAVERAGE(_xlnm.Database,FILESTAT!BP$3,bfy1992_)),0)</f>
        <v>0</v>
      </c>
      <c r="BR89" s="250"/>
      <c r="BS89" s="178"/>
      <c r="BT89" s="251"/>
      <c r="BV89" s="121">
        <f>ROUND(IF(ISERROR(DAVERAGE(_xlnm.Database,FILESTAT!BV$3,bfy1992_)),0,DAVERAGE(_xlnm.Database,FILESTAT!BV$3,bfy1992_)),0)</f>
        <v>0</v>
      </c>
      <c r="BW89" s="122">
        <f>ROUND(IF(ISERROR(DAVERAGE(_xlnm.Database,FILESTAT!BW$3,bfy1992_)),0,DAVERAGE(_xlnm.Database,FILESTAT!BW$3,bfy1992_)),0)</f>
        <v>5</v>
      </c>
      <c r="BX89" s="122">
        <f>ROUND(IF(ISERROR(DAVERAGE(_xlnm.Database,FILESTAT!BX$3,bfy1992_)),0,DAVERAGE(_xlnm.Database,FILESTAT!BX$3,bfy1992_)),0)</f>
        <v>0</v>
      </c>
      <c r="BY89" s="122">
        <f>ROUND(IF(ISERROR(DAVERAGE(_xlnm.Database,FILESTAT!BY$3,bfy1992_)),0,DAVERAGE(_xlnm.Database,FILESTAT!BY$3,bfy1992_)),0)</f>
        <v>0</v>
      </c>
      <c r="BZ89" s="122">
        <f>ROUND(IF(ISERROR(DAVERAGE(_xlnm.Database,FILESTAT!BZ$3,bfy1992_)),0,DAVERAGE(_xlnm.Database,FILESTAT!BZ$3,bfy1992_)),0)</f>
        <v>0</v>
      </c>
      <c r="CA89" s="122">
        <f>ROUND(IF(ISERROR(DAVERAGE(_xlnm.Database,FILESTAT!CA$3,bfy1992_)),0,DAVERAGE(_xlnm.Database,FILESTAT!CA$3,bfy1992_)),0)</f>
        <v>0</v>
      </c>
      <c r="CB89" s="122">
        <f>ROUND(IF(ISERROR(DAVERAGE(_xlnm.Database,FILESTAT!CB$3,bfy1992_)),0,DAVERAGE(_xlnm.Database,FILESTAT!CB$3,bfy1992_)),0)</f>
        <v>0</v>
      </c>
      <c r="CC89" s="122"/>
      <c r="CD89" s="122">
        <f>ROUND(IF(ISERROR(DAVERAGE(_xlnm.Database,FILESTAT!CD$3,bfy1992_)),0,DAVERAGE(_xlnm.Database,FILESTAT!CD$3,bfy1992_)),0)</f>
        <v>4</v>
      </c>
      <c r="CE89" s="122">
        <f>ROUND(IF(ISERROR(DAVERAGE(_xlnm.Database,FILESTAT!CE$3,bfy1992_)),0,DAVERAGE(_xlnm.Database,FILESTAT!CE$3,bfy1992_)),0)</f>
        <v>0</v>
      </c>
      <c r="CF89" s="122">
        <f>ROUND(IF(ISERROR(DAVERAGE(_xlnm.Database,FILESTAT!CF$3,bfy1992_)),0,DAVERAGE(_xlnm.Database,FILESTAT!CF$3,bfy1992_)),0)</f>
        <v>1</v>
      </c>
      <c r="CG89" s="122">
        <f>ROUND(IF(ISERROR(DAVERAGE(_xlnm.Database,FILESTAT!CG$3,bfy1992_)),0,DAVERAGE(_xlnm.Database,FILESTAT!CG$3,bfy1992_)),0)</f>
        <v>0</v>
      </c>
      <c r="CH89" s="122">
        <f>ROUND(IF(ISERROR(DAVERAGE(_xlnm.Database,FILESTAT!CH$3,bfy1992_)),0,DAVERAGE(_xlnm.Database,FILESTAT!CH$3,bfy1992_)),0)</f>
        <v>0</v>
      </c>
      <c r="CI89" s="122">
        <f>ROUND(IF(ISERROR(DAVERAGE(_xlnm.Database,FILESTAT!CI$3,bfy1992_)),0,DAVERAGE(_xlnm.Database,FILESTAT!CI$3,bfy1992_)),0)</f>
        <v>2</v>
      </c>
      <c r="CJ89" s="122">
        <f>ROUND(IF(ISERROR(DAVERAGE(_xlnm.Database,FILESTAT!CJ$3,bfy1992_)),0,DAVERAGE(_xlnm.Database,FILESTAT!CJ$3,bfy1992_)),0)</f>
        <v>7</v>
      </c>
      <c r="CK89" s="122"/>
      <c r="CL89" s="122"/>
      <c r="CM89" s="122">
        <f>ROUND(IF(ISERROR(DAVERAGE(_xlnm.Database,FILESTAT!CM$3,bfy1992_)),0,DAVERAGE(_xlnm.Database,FILESTAT!CM$3,bfy1992_)),0)</f>
        <v>0</v>
      </c>
      <c r="CN89" s="122">
        <f>ROUND(IF(ISERROR(DAVERAGE(_xlnm.Database,FILESTAT!CN$3,bfy1992_)),0,DAVERAGE(_xlnm.Database,FILESTAT!CN$3,bfy1992_)),0)</f>
        <v>0</v>
      </c>
      <c r="CO89" s="122">
        <f>ROUND(IF(ISERROR(DAVERAGE(_xlnm.Database,FILESTAT!CO$3,bfy1992_)),0,DAVERAGE(_xlnm.Database,FILESTAT!CO$3,bfy1992_)),0)</f>
        <v>3</v>
      </c>
      <c r="CP89" s="122"/>
      <c r="CQ89" s="122">
        <f>ROUND(IF(ISERROR(DAVERAGE(_xlnm.Database,FILESTAT!CQ$3,bfy1992_)),0,DAVERAGE(_xlnm.Database,FILESTAT!CQ$3,bfy1992_)),0)</f>
        <v>0</v>
      </c>
      <c r="CR89" s="122"/>
      <c r="CS89" s="122">
        <f>ROUND(IF(ISERROR(DAVERAGE(_xlnm.Database,FILESTAT!CS$3,bfy1992_)),0,DAVERAGE(_xlnm.Database,FILESTAT!CS$3,bfy1992_)),0)</f>
        <v>1</v>
      </c>
      <c r="CT89" s="122">
        <f>ROUND(IF(ISERROR(DAVERAGE(_xlnm.Database,FILESTAT!CT$3,bfy1992_)),0,DAVERAGE(_xlnm.Database,FILESTAT!CT$3,bfy1992_)),0)</f>
        <v>11</v>
      </c>
      <c r="CU89" s="122">
        <f>ROUND(IF(ISERROR(DAVERAGE(_xlnm.Database,FILESTAT!CU$3,bfy1992_)),0,DAVERAGE(_xlnm.Database,FILESTAT!CU$3,bfy1992_)),0)</f>
        <v>2</v>
      </c>
      <c r="CV89" s="122">
        <f>ROUND(IF(ISERROR(DAVERAGE(_xlnm.Database,FILESTAT!CV$3,bfy1992_)),0,DAVERAGE(_xlnm.Database,FILESTAT!CV$3,bfy1992_)),0)</f>
        <v>1</v>
      </c>
      <c r="CW89" s="122">
        <f>ROUND(IF(ISERROR(DAVERAGE(_xlnm.Database,FILESTAT!CW$3,bfy1992_)),0,DAVERAGE(_xlnm.Database,FILESTAT!CW$3,bfy1992_)),0)</f>
        <v>0</v>
      </c>
      <c r="CX89" s="122"/>
      <c r="CY89" s="122">
        <f>ROUND(IF(ISERROR(DAVERAGE(_xlnm.Database,FILESTAT!CY$3,bfy1992_)),0,DAVERAGE(_xlnm.Database,FILESTAT!CY$3,bfy1992_)),0)</f>
        <v>0</v>
      </c>
      <c r="CZ89" s="122">
        <f>ROUND(IF(ISERROR(DAVERAGE(_xlnm.Database,FILESTAT!CZ$3,bfy1992_)),0,DAVERAGE(_xlnm.Database,FILESTAT!CZ$3,bfy1992_)),0)</f>
        <v>0</v>
      </c>
      <c r="DA89" s="122">
        <f>ROUND(IF(ISERROR(DAVERAGE(_xlnm.Database,FILESTAT!DA$3,bfy1992_)),0,DAVERAGE(_xlnm.Database,FILESTAT!DA$3,bfy1992_)),0)</f>
        <v>0</v>
      </c>
      <c r="DB89" s="122">
        <f>ROUND(IF(ISERROR(DAVERAGE(_xlnm.Database,FILESTAT!DB$3,bfy1992_)),0,DAVERAGE(_xlnm.Database,FILESTAT!DB$3,bfy1992_)),0)</f>
        <v>6</v>
      </c>
      <c r="DC89" s="122">
        <f>ROUND(IF(ISERROR(DAVERAGE(_xlnm.Database,FILESTAT!DC$3,bfy1992_)),0,DAVERAGE(_xlnm.Database,FILESTAT!DC$3,bfy1992_)),0)</f>
        <v>0</v>
      </c>
      <c r="DD89" s="122">
        <f>ROUND(IF(ISERROR(DAVERAGE(_xlnm.Database,FILESTAT!DD$3,bfy1992_)),0,DAVERAGE(_xlnm.Database,FILESTAT!DD$3,bfy1992_)),0)</f>
        <v>0</v>
      </c>
      <c r="DE89" s="122">
        <f>ROUND(IF(ISERROR(DAVERAGE(_xlnm.Database,FILESTAT!DE$3,bfy1992_)),0,DAVERAGE(_xlnm.Database,FILESTAT!DE$3,bfy1992_)),0)</f>
        <v>0</v>
      </c>
      <c r="DF89" s="122">
        <f>ROUND(IF(ISERROR(DAVERAGE(_xlnm.Database,FILESTAT!DF$3,bfy1992_)),0,DAVERAGE(_xlnm.Database,FILESTAT!DF$3,bfy1992_)),0)</f>
        <v>0</v>
      </c>
      <c r="DG89" s="122">
        <f>ROUND(IF(ISERROR(DAVERAGE(_xlnm.Database,FILESTAT!DG$3,bfy1992_)),0,DAVERAGE(_xlnm.Database,FILESTAT!DG$3,bfy1992_)),0)</f>
        <v>2</v>
      </c>
      <c r="DH89" s="122">
        <f>ROUND(IF(ISERROR(DAVERAGE(_xlnm.Database,FILESTAT!DH$3,bfy1992_)),0,DAVERAGE(_xlnm.Database,FILESTAT!DH$3,bfy1992_)),0)</f>
        <v>1</v>
      </c>
      <c r="DI89" s="122">
        <f>ROUND(IF(ISERROR(DAVERAGE(_xlnm.Database,FILESTAT!DI$3,bfy1992_)),0,DAVERAGE(_xlnm.Database,FILESTAT!DI$3,bfy1992_)),0)</f>
        <v>1</v>
      </c>
      <c r="DJ89" s="122">
        <f>ROUND(IF(ISERROR(DAVERAGE(_xlnm.Database,FILESTAT!DJ$3,bfy1992_)),0,DAVERAGE(_xlnm.Database,FILESTAT!DJ$3,bfy1992_)),0)</f>
        <v>0</v>
      </c>
      <c r="DK89" s="122"/>
      <c r="DL89" s="122">
        <f>ROUND(IF(ISERROR(DAVERAGE(_xlnm.Database,FILESTAT!DL$3,bfy1992_)),0,DAVERAGE(_xlnm.Database,FILESTAT!DL$3,bfy1992_)),0)</f>
        <v>0</v>
      </c>
      <c r="DM89" s="122">
        <f>ROUND(IF(ISERROR(DAVERAGE(_xlnm.Database,FILESTAT!DM$3,bfy1992_)),0,DAVERAGE(_xlnm.Database,FILESTAT!DM$3,bfy1992_)),0)</f>
        <v>1</v>
      </c>
      <c r="DN89" s="122">
        <f>ROUND(IF(ISERROR(DAVERAGE(_xlnm.Database,FILESTAT!DN$3,bfy1992_)),0,DAVERAGE(_xlnm.Database,FILESTAT!DN$3,bfy1992_)),0)</f>
        <v>0</v>
      </c>
      <c r="DO89" s="122">
        <f>ROUND(IF(ISERROR(DAVERAGE(_xlnm.Database,FILESTAT!DO$3,bfy1992_)),0,DAVERAGE(_xlnm.Database,FILESTAT!DO$3,bfy1992_)),0)</f>
        <v>2</v>
      </c>
      <c r="DP89" s="122">
        <f>ROUND(IF(ISERROR(DAVERAGE(_xlnm.Database,FILESTAT!DP$3,bfy1992_)),0,DAVERAGE(_xlnm.Database,FILESTAT!DP$3,bfy1992_)),0)</f>
        <v>0</v>
      </c>
      <c r="DQ89" s="122">
        <f>ROUND(IF(ISERROR(DAVERAGE(_xlnm.Database,FILESTAT!DQ$3,bfy1992_)),0,DAVERAGE(_xlnm.Database,FILESTAT!DQ$3,bfy1992_)),0)</f>
        <v>0</v>
      </c>
      <c r="DR89" s="122"/>
      <c r="DS89" s="122">
        <f>ROUND(IF(ISERROR(DAVERAGE(_xlnm.Database,FILESTAT!DS$3,bfy1992_)),0,DAVERAGE(_xlnm.Database,FILESTAT!DS$3,bfy1992_)),0)</f>
        <v>0</v>
      </c>
      <c r="DT89" s="122">
        <f>ROUND(IF(ISERROR(DAVERAGE(_xlnm.Database,FILESTAT!DT$3,bfy1992_)),0,DAVERAGE(_xlnm.Database,FILESTAT!DT$3,bfy1992_)),0)</f>
        <v>1</v>
      </c>
      <c r="DU89" s="122">
        <f>ROUND(IF(ISERROR(DAVERAGE(_xlnm.Database,FILESTAT!DU$3,bfy1992_)),0,DAVERAGE(_xlnm.Database,FILESTAT!DU$3,bfy1992_)),0)</f>
        <v>0</v>
      </c>
      <c r="DV89" s="127">
        <f t="shared" si="212"/>
        <v>51</v>
      </c>
      <c r="DW89" s="128"/>
    </row>
    <row r="90" spans="1:129" s="111" customFormat="1">
      <c r="A90" s="228">
        <v>1993</v>
      </c>
      <c r="B90" s="24"/>
      <c r="C90" s="121">
        <f>ROUND(IF(ISERROR(DAVERAGE(_xlnm.Database,FILESTAT!C$3,bfy1993_)),0,DAVERAGE(_xlnm.Database,FILESTAT!C$3,bfy1993_)),0)</f>
        <v>6</v>
      </c>
      <c r="D90" s="122">
        <f>ROUND(IF(ISERROR(DAVERAGE(_xlnm.Database,FILESTAT!D$3,bfy1993_)),0,DAVERAGE(_xlnm.Database,FILESTAT!D$3,bfy1993_)),0)</f>
        <v>24</v>
      </c>
      <c r="E90" s="122">
        <f>ROUND(IF(ISERROR(DAVERAGE(_xlnm.Database,FILESTAT!E$3,bfy1993_)),0,DAVERAGE(_xlnm.Database,FILESTAT!E$3,bfy1993_)),0)</f>
        <v>7</v>
      </c>
      <c r="F90" s="122">
        <f>ROUND(IF(ISERROR(DAVERAGE(_xlnm.Database,FILESTAT!F$3,bfy1993_)),0,DAVERAGE(_xlnm.Database,FILESTAT!F$3,bfy1993_)),0)</f>
        <v>0</v>
      </c>
      <c r="G90" s="122">
        <f>ROUND(IF(ISERROR(DAVERAGE(_xlnm.Database,FILESTAT!G$3,bfy1993_)),0,DAVERAGE(_xlnm.Database,FILESTAT!G$3,bfy1993_)),0)</f>
        <v>4</v>
      </c>
      <c r="H90" s="122">
        <f>ROUND(IF(ISERROR(DAVERAGE(_xlnm.Database,FILESTAT!H$3,bfy1993_)),0,DAVERAGE(_xlnm.Database,FILESTAT!H$3,bfy1993_)),0)</f>
        <v>1</v>
      </c>
      <c r="I90" s="122">
        <f>ROUND(IF(ISERROR(DAVERAGE(_xlnm.Database,FILESTAT!I$3,bfy1993_)),0,DAVERAGE(_xlnm.Database,FILESTAT!I$3,bfy1993_)),0)</f>
        <v>0</v>
      </c>
      <c r="J90" s="122">
        <f>ROUND(IF(ISERROR(DAVERAGE(_xlnm.Database,FILESTAT!J$3,bfy1993_)),0,DAVERAGE(_xlnm.Database,FILESTAT!J$3,bfy1993_)),0)</f>
        <v>12</v>
      </c>
      <c r="K90" s="122">
        <f>ROUND(IF(ISERROR(DAVERAGE(_xlnm.Database,FILESTAT!K$3,bfy1993_)),0,DAVERAGE(_xlnm.Database,FILESTAT!K$3,bfy1993_)),0)</f>
        <v>0</v>
      </c>
      <c r="L90" s="122">
        <f>ROUND(IF(ISERROR(DAVERAGE(_xlnm.Database,FILESTAT!L$3,bfy1993_)),0,DAVERAGE(_xlnm.Database,FILESTAT!L$3,bfy1993_)),0)</f>
        <v>0</v>
      </c>
      <c r="M90" s="122">
        <f>ROUND(IF(ISERROR(DAVERAGE(_xlnm.Database,FILESTAT!M$3,bfy1993_)),0,DAVERAGE(_xlnm.Database,FILESTAT!M$3,bfy1993_)),0)</f>
        <v>0</v>
      </c>
      <c r="N90" s="122">
        <f>ROUND(IF(ISERROR(DAVERAGE(_xlnm.Database,FILESTAT!N$3,bfy1993_)),0,DAVERAGE(_xlnm.Database,FILESTAT!N$3,bfy1993_)),0)</f>
        <v>0</v>
      </c>
      <c r="O90" s="122">
        <f>ROUND(IF(ISERROR(DAVERAGE(_xlnm.Database,FILESTAT!O$3,bfy1993_)),0,DAVERAGE(_xlnm.Database,FILESTAT!O$3,bfy1993_)),0)</f>
        <v>15</v>
      </c>
      <c r="P90" s="122">
        <f>ROUND(IF(ISERROR(DAVERAGE(_xlnm.Database,FILESTAT!P$3,bfy1993_)),0,DAVERAGE(_xlnm.Database,FILESTAT!P$3,bfy1993_)),0)</f>
        <v>0</v>
      </c>
      <c r="Q90" s="122">
        <f>ROUND(IF(ISERROR(DAVERAGE(_xlnm.Database,FILESTAT!Q$3,bfy1993_)),0,DAVERAGE(_xlnm.Database,FILESTAT!Q$3,bfy1993_)),0)</f>
        <v>0</v>
      </c>
      <c r="R90" s="122">
        <f>ROUND(IF(ISERROR(DAVERAGE(_xlnm.Database,FILESTAT!R$3,bfy1993_)),0,DAVERAGE(_xlnm.Database,FILESTAT!R$3,bfy1993_)),0)</f>
        <v>0</v>
      </c>
      <c r="S90" s="120">
        <f t="shared" si="211"/>
        <v>69</v>
      </c>
      <c r="T90" s="122">
        <f>ROUND(IF(ISERROR(DAVERAGE(_xlnm.Database,FILESTAT!T$3,bfy1993_)),0,DAVERAGE(_xlnm.Database,FILESTAT!T$3,bfy1993_)),0)</f>
        <v>0</v>
      </c>
      <c r="U90" s="122">
        <f>ROUND(IF(ISERROR(DAVERAGE(_xlnm.Database,FILESTAT!U$3,bfy1993_)),0,DAVERAGE(_xlnm.Database,FILESTAT!U$3,bfy1993_)),0)</f>
        <v>0</v>
      </c>
      <c r="V90" s="122"/>
      <c r="W90" s="122">
        <f>ROUND(IF(ISERROR(DAVERAGE(_xlnm.Database,FILESTAT!W$3,bfy1993_)),0,DAVERAGE(_xlnm.Database,FILESTAT!W$3,bfy1993_)),0)</f>
        <v>0</v>
      </c>
      <c r="X90" s="123">
        <f>ROUND(IF(ISERROR(DAVERAGE(_xlnm.Database,FILESTAT!X$3,bfy1993_)),0,DAVERAGE(_xlnm.Database,FILESTAT!X$3,bfy1993_)),0)</f>
        <v>0</v>
      </c>
      <c r="Z90" s="121">
        <f>ROUND(IF(ISERROR(DAVERAGE(_xlnm.Database,FILESTAT!Z$3,bfy1993_)),0,DAVERAGE(_xlnm.Database,FILESTAT!Z$3,bfy1993_)),0)</f>
        <v>0</v>
      </c>
      <c r="AA90" s="122">
        <f>ROUND(IF(ISERROR(DAVERAGE(_xlnm.Database,FILESTAT!AA$3,bfy1993_)),0,DAVERAGE(_xlnm.Database,FILESTAT!AA$3,bfy1993_)),0)</f>
        <v>1276618</v>
      </c>
      <c r="AB90" s="122"/>
      <c r="AC90" s="121">
        <f>ROUND(IF(ISERROR(DAVERAGE(_xlnm.Database,FILESTAT!AC$3,bfy1993_)),0,DAVERAGE(_xlnm.Database,FILESTAT!AC$3,bfy1993_)),0)</f>
        <v>0</v>
      </c>
      <c r="AD90" s="122">
        <f>ROUND(IF(ISERROR(DAVERAGE(_xlnm.Database,FILESTAT!AD$3,bfy1993_)),0,DAVERAGE(_xlnm.Database,FILESTAT!AD$3,bfy1993_)),0)</f>
        <v>0</v>
      </c>
      <c r="AE90" s="120"/>
      <c r="AG90" s="121">
        <f>ROUND(IF(ISERROR(DAVERAGE(_xlnm.Database,FILESTAT!AG$3,bfy1993_)),0,DAVERAGE(_xlnm.Database,FILESTAT!AG$3,bfy1993_)),0)</f>
        <v>91</v>
      </c>
      <c r="AH90" s="122">
        <f>ROUND(IF(ISERROR(DAVERAGE(_xlnm.Database,FILESTAT!AH$3,bfy1993_)),0,DAVERAGE(_xlnm.Database,FILESTAT!AH$3,bfy1993_)),0)</f>
        <v>20</v>
      </c>
      <c r="AI90" s="122">
        <f>ROUND(IF(ISERROR(DAVERAGE(_xlnm.Database,FILESTAT!AI$3,bfy1993_)),0,DAVERAGE(_xlnm.Database,FILESTAT!AI$3,bfy1993_)),0)</f>
        <v>153</v>
      </c>
      <c r="AJ90" s="123">
        <f>ROUND(IF(ISERROR(DAVERAGE(_xlnm.Database,FILESTAT!AJ$3,bfy1993_)),0,DAVERAGE(_xlnm.Database,FILESTAT!AJ$3,bfy1993_)),0)</f>
        <v>23</v>
      </c>
      <c r="AL90" s="121">
        <f>ROUND(IF(ISERROR(DAVERAGE(_xlnm.Database,FILESTAT!AL$3,bfy1993_)),0,DAVERAGE(_xlnm.Database,FILESTAT!AL$3,bfy1993_)),0)</f>
        <v>32</v>
      </c>
      <c r="AM90" s="122">
        <f>ROUND(IF(ISERROR(DAVERAGE(_xlnm.Database,FILESTAT!AM$3,bfy1993_)),0,DAVERAGE(_xlnm.Database,FILESTAT!AM$3,bfy1993_)),0)</f>
        <v>146</v>
      </c>
      <c r="AN90" s="120">
        <f>ROUND(SUM(AL90:AM90),0)</f>
        <v>178</v>
      </c>
      <c r="AO90" s="122">
        <f>ROUND(IF(ISERROR(DAVERAGE(_xlnm.Database,FILESTAT!AO$3,bfy1993_)),0,DAVERAGE(_xlnm.Database,FILESTAT!AO$3,bfy1993_)),0)</f>
        <v>154</v>
      </c>
      <c r="AP90" s="122">
        <f>ROUND(IF(ISERROR(DAVERAGE(_xlnm.Database,FILESTAT!AP$3,bfy1993_)),0,DAVERAGE(_xlnm.Database,FILESTAT!AP$3,bfy1993_)),0)</f>
        <v>34</v>
      </c>
      <c r="AQ90" s="120">
        <f>ROUND(SUM(AO90:AP90),0)</f>
        <v>188</v>
      </c>
      <c r="AR90" s="122">
        <f>ROUND(IF(ISERROR(DAVERAGE(_xlnm.Database,FILESTAT!AR$3,bfy1993_)),0,DAVERAGE(_xlnm.Database,FILESTAT!AR$3,bfy1993_)),0)</f>
        <v>0</v>
      </c>
      <c r="AS90" s="122">
        <f>ROUND(IF(ISERROR(DAVERAGE(_xlnm.Database,FILESTAT!AS$3,bfy1993_)),0,DAVERAGE(_xlnm.Database,FILESTAT!AS$3,bfy1993_)),0)</f>
        <v>0</v>
      </c>
      <c r="AT90" s="122">
        <f>ROUND(IF(ISERROR(DAVERAGE(_xlnm.Database,FILESTAT!AT$3,bfy1993_)),0,DAVERAGE(_xlnm.Database,FILESTAT!AT$3,bfy1993_)),0)</f>
        <v>0</v>
      </c>
      <c r="AU90" s="122">
        <f>ROUND(IF(ISERROR(DAVERAGE(_xlnm.Database,FILESTAT!AU$3,bfy1993_)),0,DAVERAGE(_xlnm.Database,FILESTAT!AU$3,bfy1993_)),0)</f>
        <v>0</v>
      </c>
      <c r="AV90" s="123">
        <f>ROUND(IF(ISERROR(DAVERAGE(_xlnm.Database,FILESTAT!AV$3,bfy1993_)),0,DAVERAGE(_xlnm.Database,FILESTAT!AV$3,bfy1993_)),0)</f>
        <v>0</v>
      </c>
      <c r="AW90"/>
      <c r="AX90" s="356"/>
      <c r="AY90"/>
      <c r="BA90" s="121">
        <f>ROUND(IF(ISERROR(DAVERAGE(_xlnm.Database,FILESTAT!BA$3,bfy1993_)),0,DAVERAGE(_xlnm.Database,FILESTAT!BA$3,bfy1993_)),0)</f>
        <v>1531</v>
      </c>
      <c r="BB90" s="122">
        <f>ROUND(IF(ISERROR(DAVERAGE(_xlnm.Database,FILESTAT!BB$3,bfy1993_)),0,DAVERAGE(_xlnm.Database,FILESTAT!BB$3,bfy1993_)),0)</f>
        <v>0</v>
      </c>
      <c r="BC90" s="122">
        <f>ROUND(IF(ISERROR(DAVERAGE(_xlnm.Database,FILESTAT!BC$3,bfy1993_)),0,DAVERAGE(_xlnm.Database,FILESTAT!BC$3,bfy1993_)),0)</f>
        <v>17595831</v>
      </c>
      <c r="BD90" s="122"/>
      <c r="BE90" s="122">
        <f>ROUND(IF(ISERROR(DAVERAGE(_xlnm.Database,FILESTAT!BE$3,bfy1993_)),0,DAVERAGE(_xlnm.Database,FILESTAT!BE$3,bfy1993_)),0)</f>
        <v>0</v>
      </c>
      <c r="BF90" s="122">
        <f>ROUND(IF(ISERROR(DAVERAGE(_xlnm.Database,FILESTAT!BF$3,bfy1993_)),0,DAVERAGE(_xlnm.Database,FILESTAT!BF$3,bfy1993_)),0)</f>
        <v>0</v>
      </c>
      <c r="BG90" s="122">
        <f>ROUND(IF(ISERROR(DAVERAGE(_xlnm.Database,FILESTAT!BG$3,bfy1993_)),0,DAVERAGE(_xlnm.Database,FILESTAT!BG$3,bfy1993_)),0)</f>
        <v>0</v>
      </c>
      <c r="BH90" s="122"/>
      <c r="BI90" s="122">
        <f>ROUND(IF(ISERROR(DAVERAGE(_xlnm.Database,FILESTAT!BI$3,bfy1993_)),0,DAVERAGE(_xlnm.Database,FILESTAT!BI$3,bfy1993_)),0)</f>
        <v>0</v>
      </c>
      <c r="BJ90" s="122"/>
      <c r="BK90" s="122"/>
      <c r="BL90" s="122"/>
      <c r="BM90" s="123">
        <f>ROUND(IF(ISERROR(DAVERAGE(_xlnm.Database,FILESTAT!BM$3,bfy1993_)),0,DAVERAGE(_xlnm.Database,FILESTAT!BM$3,bfy1993_)),0)</f>
        <v>3281</v>
      </c>
      <c r="BO90" s="121">
        <f>ROUND(IF(ISERROR(DAVERAGE(_xlnm.Database,FILESTAT!BO$3,bfy1993_)),0,DAVERAGE(_xlnm.Database,FILESTAT!BO$3,bfy1993_)),0)</f>
        <v>0</v>
      </c>
      <c r="BP90" s="123">
        <f>ROUND(IF(ISERROR(DAVERAGE(_xlnm.Database,FILESTAT!BP$3,bfy1993_)),0,DAVERAGE(_xlnm.Database,FILESTAT!BP$3,bfy1993_)),0)</f>
        <v>0</v>
      </c>
      <c r="BR90" s="250"/>
      <c r="BS90" s="178"/>
      <c r="BT90" s="251"/>
      <c r="BV90" s="121">
        <f>ROUND(IF(ISERROR(DAVERAGE(_xlnm.Database,FILESTAT!BV$3,bfy1993_)),0,DAVERAGE(_xlnm.Database,FILESTAT!BV$3,bfy1993_)),0)</f>
        <v>2</v>
      </c>
      <c r="BW90" s="122">
        <f>ROUND(IF(ISERROR(DAVERAGE(_xlnm.Database,FILESTAT!BW$3,bfy1993_)),0,DAVERAGE(_xlnm.Database,FILESTAT!BW$3,bfy1993_)),0)</f>
        <v>1</v>
      </c>
      <c r="BX90" s="122">
        <f>ROUND(IF(ISERROR(DAVERAGE(_xlnm.Database,FILESTAT!BX$3,bfy1993_)),0,DAVERAGE(_xlnm.Database,FILESTAT!BX$3,bfy1993_)),0)</f>
        <v>0</v>
      </c>
      <c r="BY90" s="122">
        <f>ROUND(IF(ISERROR(DAVERAGE(_xlnm.Database,FILESTAT!BY$3,bfy1993_)),0,DAVERAGE(_xlnm.Database,FILESTAT!BY$3,bfy1993_)),0)</f>
        <v>0</v>
      </c>
      <c r="BZ90" s="122">
        <f>ROUND(IF(ISERROR(DAVERAGE(_xlnm.Database,FILESTAT!BZ$3,bfy1993_)),0,DAVERAGE(_xlnm.Database,FILESTAT!BZ$3,bfy1993_)),0)</f>
        <v>0</v>
      </c>
      <c r="CA90" s="122">
        <f>ROUND(IF(ISERROR(DAVERAGE(_xlnm.Database,FILESTAT!CA$3,bfy1993_)),0,DAVERAGE(_xlnm.Database,FILESTAT!CA$3,bfy1993_)),0)</f>
        <v>0</v>
      </c>
      <c r="CB90" s="122">
        <f>ROUND(IF(ISERROR(DAVERAGE(_xlnm.Database,FILESTAT!CB$3,bfy1993_)),0,DAVERAGE(_xlnm.Database,FILESTAT!CB$3,bfy1993_)),0)</f>
        <v>0</v>
      </c>
      <c r="CC90" s="122"/>
      <c r="CD90" s="122">
        <f>ROUND(IF(ISERROR(DAVERAGE(_xlnm.Database,FILESTAT!CD$3,bfy1993_)),0,DAVERAGE(_xlnm.Database,FILESTAT!CD$3,bfy1993_)),0)</f>
        <v>4</v>
      </c>
      <c r="CE90" s="122">
        <f>ROUND(IF(ISERROR(DAVERAGE(_xlnm.Database,FILESTAT!CE$3,bfy1993_)),0,DAVERAGE(_xlnm.Database,FILESTAT!CE$3,bfy1993_)),0)</f>
        <v>0</v>
      </c>
      <c r="CF90" s="122">
        <f>ROUND(IF(ISERROR(DAVERAGE(_xlnm.Database,FILESTAT!CF$3,bfy1993_)),0,DAVERAGE(_xlnm.Database,FILESTAT!CF$3,bfy1993_)),0)</f>
        <v>1</v>
      </c>
      <c r="CG90" s="122">
        <f>ROUND(IF(ISERROR(DAVERAGE(_xlnm.Database,FILESTAT!CG$3,bfy1993_)),0,DAVERAGE(_xlnm.Database,FILESTAT!CG$3,bfy1993_)),0)</f>
        <v>1</v>
      </c>
      <c r="CH90" s="122">
        <f>ROUND(IF(ISERROR(DAVERAGE(_xlnm.Database,FILESTAT!CH$3,bfy1993_)),0,DAVERAGE(_xlnm.Database,FILESTAT!CH$3,bfy1993_)),0)</f>
        <v>0</v>
      </c>
      <c r="CI90" s="122">
        <f>ROUND(IF(ISERROR(DAVERAGE(_xlnm.Database,FILESTAT!CI$3,bfy1993_)),0,DAVERAGE(_xlnm.Database,FILESTAT!CI$3,bfy1993_)),0)</f>
        <v>4</v>
      </c>
      <c r="CJ90" s="122">
        <f>ROUND(IF(ISERROR(DAVERAGE(_xlnm.Database,FILESTAT!CJ$3,bfy1993_)),0,DAVERAGE(_xlnm.Database,FILESTAT!CJ$3,bfy1993_)),0)</f>
        <v>7</v>
      </c>
      <c r="CK90" s="122"/>
      <c r="CL90" s="122"/>
      <c r="CM90" s="122">
        <f>ROUND(IF(ISERROR(DAVERAGE(_xlnm.Database,FILESTAT!CM$3,bfy1993_)),0,DAVERAGE(_xlnm.Database,FILESTAT!CM$3,bfy1993_)),0)</f>
        <v>3</v>
      </c>
      <c r="CN90" s="122">
        <f>ROUND(IF(ISERROR(DAVERAGE(_xlnm.Database,FILESTAT!CN$3,bfy1993_)),0,DAVERAGE(_xlnm.Database,FILESTAT!CN$3,bfy1993_)),0)</f>
        <v>0</v>
      </c>
      <c r="CO90" s="122">
        <f>ROUND(IF(ISERROR(DAVERAGE(_xlnm.Database,FILESTAT!CO$3,bfy1993_)),0,DAVERAGE(_xlnm.Database,FILESTAT!CO$3,bfy1993_)),0)</f>
        <v>7</v>
      </c>
      <c r="CP90" s="122"/>
      <c r="CQ90" s="122">
        <f>ROUND(IF(ISERROR(DAVERAGE(_xlnm.Database,FILESTAT!CQ$3,bfy1993_)),0,DAVERAGE(_xlnm.Database,FILESTAT!CQ$3,bfy1993_)),0)</f>
        <v>0</v>
      </c>
      <c r="CR90" s="122"/>
      <c r="CS90" s="122">
        <f>ROUND(IF(ISERROR(DAVERAGE(_xlnm.Database,FILESTAT!CS$3,bfy1993_)),0,DAVERAGE(_xlnm.Database,FILESTAT!CS$3,bfy1993_)),0)</f>
        <v>1</v>
      </c>
      <c r="CT90" s="122">
        <f>ROUND(IF(ISERROR(DAVERAGE(_xlnm.Database,FILESTAT!CT$3,bfy1993_)),0,DAVERAGE(_xlnm.Database,FILESTAT!CT$3,bfy1993_)),0)</f>
        <v>12</v>
      </c>
      <c r="CU90" s="122">
        <f>ROUND(IF(ISERROR(DAVERAGE(_xlnm.Database,FILESTAT!CU$3,bfy1993_)),0,DAVERAGE(_xlnm.Database,FILESTAT!CU$3,bfy1993_)),0)</f>
        <v>3</v>
      </c>
      <c r="CV90" s="122">
        <f>ROUND(IF(ISERROR(DAVERAGE(_xlnm.Database,FILESTAT!CV$3,bfy1993_)),0,DAVERAGE(_xlnm.Database,FILESTAT!CV$3,bfy1993_)),0)</f>
        <v>2</v>
      </c>
      <c r="CW90" s="122">
        <f>ROUND(IF(ISERROR(DAVERAGE(_xlnm.Database,FILESTAT!CW$3,bfy1993_)),0,DAVERAGE(_xlnm.Database,FILESTAT!CW$3,bfy1993_)),0)</f>
        <v>0</v>
      </c>
      <c r="CX90" s="122"/>
      <c r="CY90" s="122">
        <f>ROUND(IF(ISERROR(DAVERAGE(_xlnm.Database,FILESTAT!CY$3,bfy1993_)),0,DAVERAGE(_xlnm.Database,FILESTAT!CY$3,bfy1993_)),0)</f>
        <v>0</v>
      </c>
      <c r="CZ90" s="122">
        <f>ROUND(IF(ISERROR(DAVERAGE(_xlnm.Database,FILESTAT!CZ$3,bfy1993_)),0,DAVERAGE(_xlnm.Database,FILESTAT!CZ$3,bfy1993_)),0)</f>
        <v>0</v>
      </c>
      <c r="DA90" s="122">
        <f>ROUND(IF(ISERROR(DAVERAGE(_xlnm.Database,FILESTAT!DA$3,bfy1993_)),0,DAVERAGE(_xlnm.Database,FILESTAT!DA$3,bfy1993_)),0)</f>
        <v>0</v>
      </c>
      <c r="DB90" s="122">
        <f>ROUND(IF(ISERROR(DAVERAGE(_xlnm.Database,FILESTAT!DB$3,bfy1993_)),0,DAVERAGE(_xlnm.Database,FILESTAT!DB$3,bfy1993_)),0)</f>
        <v>6</v>
      </c>
      <c r="DC90" s="122">
        <f>ROUND(IF(ISERROR(DAVERAGE(_xlnm.Database,FILESTAT!DC$3,bfy1993_)),0,DAVERAGE(_xlnm.Database,FILESTAT!DC$3,bfy1993_)),0)</f>
        <v>0</v>
      </c>
      <c r="DD90" s="122">
        <f>ROUND(IF(ISERROR(DAVERAGE(_xlnm.Database,FILESTAT!DD$3,bfy1993_)),0,DAVERAGE(_xlnm.Database,FILESTAT!DD$3,bfy1993_)),0)</f>
        <v>0</v>
      </c>
      <c r="DE90" s="122">
        <f>ROUND(IF(ISERROR(DAVERAGE(_xlnm.Database,FILESTAT!DE$3,bfy1993_)),0,DAVERAGE(_xlnm.Database,FILESTAT!DE$3,bfy1993_)),0)</f>
        <v>0</v>
      </c>
      <c r="DF90" s="122">
        <f>ROUND(IF(ISERROR(DAVERAGE(_xlnm.Database,FILESTAT!DF$3,bfy1993_)),0,DAVERAGE(_xlnm.Database,FILESTAT!DF$3,bfy1993_)),0)</f>
        <v>0</v>
      </c>
      <c r="DG90" s="122">
        <f>ROUND(IF(ISERROR(DAVERAGE(_xlnm.Database,FILESTAT!DG$3,bfy1993_)),0,DAVERAGE(_xlnm.Database,FILESTAT!DG$3,bfy1993_)),0)</f>
        <v>3</v>
      </c>
      <c r="DH90" s="122">
        <f>ROUND(IF(ISERROR(DAVERAGE(_xlnm.Database,FILESTAT!DH$3,bfy1993_)),0,DAVERAGE(_xlnm.Database,FILESTAT!DH$3,bfy1993_)),0)</f>
        <v>1</v>
      </c>
      <c r="DI90" s="122">
        <f>ROUND(IF(ISERROR(DAVERAGE(_xlnm.Database,FILESTAT!DI$3,bfy1993_)),0,DAVERAGE(_xlnm.Database,FILESTAT!DI$3,bfy1993_)),0)</f>
        <v>1</v>
      </c>
      <c r="DJ90" s="122">
        <f>ROUND(IF(ISERROR(DAVERAGE(_xlnm.Database,FILESTAT!DJ$3,bfy1993_)),0,DAVERAGE(_xlnm.Database,FILESTAT!DJ$3,bfy1993_)),0)</f>
        <v>0</v>
      </c>
      <c r="DK90" s="122"/>
      <c r="DL90" s="122">
        <f>ROUND(IF(ISERROR(DAVERAGE(_xlnm.Database,FILESTAT!DL$3,bfy1993_)),0,DAVERAGE(_xlnm.Database,FILESTAT!DL$3,bfy1993_)),0)</f>
        <v>0</v>
      </c>
      <c r="DM90" s="122">
        <f>ROUND(IF(ISERROR(DAVERAGE(_xlnm.Database,FILESTAT!DM$3,bfy1993_)),0,DAVERAGE(_xlnm.Database,FILESTAT!DM$3,bfy1993_)),0)</f>
        <v>4</v>
      </c>
      <c r="DN90" s="122">
        <f>ROUND(IF(ISERROR(DAVERAGE(_xlnm.Database,FILESTAT!DN$3,bfy1993_)),0,DAVERAGE(_xlnm.Database,FILESTAT!DN$3,bfy1993_)),0)</f>
        <v>0</v>
      </c>
      <c r="DO90" s="122">
        <f>ROUND(IF(ISERROR(DAVERAGE(_xlnm.Database,FILESTAT!DO$3,bfy1993_)),0,DAVERAGE(_xlnm.Database,FILESTAT!DO$3,bfy1993_)),0)</f>
        <v>3</v>
      </c>
      <c r="DP90" s="122">
        <f>ROUND(IF(ISERROR(DAVERAGE(_xlnm.Database,FILESTAT!DP$3,bfy1993_)),0,DAVERAGE(_xlnm.Database,FILESTAT!DP$3,bfy1993_)),0)</f>
        <v>0</v>
      </c>
      <c r="DQ90" s="122">
        <f>ROUND(IF(ISERROR(DAVERAGE(_xlnm.Database,FILESTAT!DQ$3,bfy1993_)),0,DAVERAGE(_xlnm.Database,FILESTAT!DQ$3,bfy1993_)),0)</f>
        <v>0</v>
      </c>
      <c r="DR90" s="122"/>
      <c r="DS90" s="122">
        <f>ROUND(IF(ISERROR(DAVERAGE(_xlnm.Database,FILESTAT!DS$3,bfy1993_)),0,DAVERAGE(_xlnm.Database,FILESTAT!DS$3,bfy1993_)),0)</f>
        <v>0</v>
      </c>
      <c r="DT90" s="122">
        <f>ROUND(IF(ISERROR(DAVERAGE(_xlnm.Database,FILESTAT!DT$3,bfy1993_)),0,DAVERAGE(_xlnm.Database,FILESTAT!DT$3,bfy1993_)),0)</f>
        <v>3</v>
      </c>
      <c r="DU90" s="122">
        <f>ROUND(IF(ISERROR(DAVERAGE(_xlnm.Database,FILESTAT!DU$3,bfy1993_)),0,DAVERAGE(_xlnm.Database,FILESTAT!DU$3,bfy1993_)),0)</f>
        <v>0</v>
      </c>
      <c r="DV90" s="127">
        <f t="shared" si="212"/>
        <v>69</v>
      </c>
      <c r="DW90" s="128"/>
    </row>
    <row r="91" spans="1:129" s="111" customFormat="1">
      <c r="A91" s="228">
        <v>1994</v>
      </c>
      <c r="B91" s="24"/>
      <c r="C91" s="121">
        <f>ROUND(IF(ISERROR(DAVERAGE(_xlnm.Database,FILESTAT!C$3,bfy1994_)),0,DAVERAGE(_xlnm.Database,FILESTAT!C$3,bfy1994_)),0)</f>
        <v>4</v>
      </c>
      <c r="D91" s="122">
        <f>ROUND(IF(ISERROR(DAVERAGE(_xlnm.Database,FILESTAT!D$3,bfy1994_)),0,DAVERAGE(_xlnm.Database,FILESTAT!D$3,bfy1994_)),0)</f>
        <v>21</v>
      </c>
      <c r="E91" s="122">
        <f>ROUND(IF(ISERROR(DAVERAGE(_xlnm.Database,FILESTAT!E$3,bfy1994_)),0,DAVERAGE(_xlnm.Database,FILESTAT!E$3,bfy1994_)),0)</f>
        <v>2</v>
      </c>
      <c r="F91" s="122">
        <f>ROUND(IF(ISERROR(DAVERAGE(_xlnm.Database,FILESTAT!F$3,bfy1994_)),0,DAVERAGE(_xlnm.Database,FILESTAT!F$3,bfy1994_)),0)</f>
        <v>1</v>
      </c>
      <c r="G91" s="122">
        <f>ROUND(IF(ISERROR(DAVERAGE(_xlnm.Database,FILESTAT!G$3,bfy1994_)),0,DAVERAGE(_xlnm.Database,FILESTAT!G$3,bfy1994_)),0)</f>
        <v>2</v>
      </c>
      <c r="H91" s="122">
        <f>ROUND(IF(ISERROR(DAVERAGE(_xlnm.Database,FILESTAT!H$3,bfy1994_)),0,DAVERAGE(_xlnm.Database,FILESTAT!H$3,bfy1994_)),0)</f>
        <v>2</v>
      </c>
      <c r="I91" s="122">
        <f>ROUND(IF(ISERROR(DAVERAGE(_xlnm.Database,FILESTAT!I$3,bfy1994_)),0,DAVERAGE(_xlnm.Database,FILESTAT!I$3,bfy1994_)),0)</f>
        <v>0</v>
      </c>
      <c r="J91" s="122">
        <f>ROUND(IF(ISERROR(DAVERAGE(_xlnm.Database,FILESTAT!J$3,bfy1994_)),0,DAVERAGE(_xlnm.Database,FILESTAT!J$3,bfy1994_)),0)</f>
        <v>4</v>
      </c>
      <c r="K91" s="122">
        <f>ROUND(IF(ISERROR(DAVERAGE(_xlnm.Database,FILESTAT!K$3,bfy1994_)),0,DAVERAGE(_xlnm.Database,FILESTAT!K$3,bfy1994_)),0)</f>
        <v>0</v>
      </c>
      <c r="L91" s="122">
        <f>ROUND(IF(ISERROR(DAVERAGE(_xlnm.Database,FILESTAT!L$3,bfy1994_)),0,DAVERAGE(_xlnm.Database,FILESTAT!L$3,bfy1994_)),0)</f>
        <v>0</v>
      </c>
      <c r="M91" s="122">
        <f>ROUND(IF(ISERROR(DAVERAGE(_xlnm.Database,FILESTAT!M$3,bfy1994_)),0,DAVERAGE(_xlnm.Database,FILESTAT!M$3,bfy1994_)),0)</f>
        <v>0</v>
      </c>
      <c r="N91" s="122">
        <f>ROUND(IF(ISERROR(DAVERAGE(_xlnm.Database,FILESTAT!N$3,bfy1994_)),0,DAVERAGE(_xlnm.Database,FILESTAT!N$3,bfy1994_)),0)</f>
        <v>0</v>
      </c>
      <c r="O91" s="122">
        <f>ROUND(IF(ISERROR(DAVERAGE(_xlnm.Database,FILESTAT!O$3,bfy1994_)),0,DAVERAGE(_xlnm.Database,FILESTAT!O$3,bfy1994_)),0)</f>
        <v>24</v>
      </c>
      <c r="P91" s="122">
        <f>ROUND(IF(ISERROR(DAVERAGE(_xlnm.Database,FILESTAT!P$3,bfy1994_)),0,DAVERAGE(_xlnm.Database,FILESTAT!P$3,bfy1994_)),0)</f>
        <v>0</v>
      </c>
      <c r="Q91" s="122">
        <f>ROUND(IF(ISERROR(DAVERAGE(_xlnm.Database,FILESTAT!Q$3,bfy1994_)),0,DAVERAGE(_xlnm.Database,FILESTAT!Q$3,bfy1994_)),0)</f>
        <v>0</v>
      </c>
      <c r="R91" s="122">
        <f>ROUND(IF(ISERROR(DAVERAGE(_xlnm.Database,FILESTAT!R$3,bfy1994_)),0,DAVERAGE(_xlnm.Database,FILESTAT!R$3,bfy1994_)),0)</f>
        <v>0</v>
      </c>
      <c r="S91" s="120">
        <f t="shared" si="211"/>
        <v>60</v>
      </c>
      <c r="T91" s="122">
        <f>ROUND(IF(ISERROR(DAVERAGE(_xlnm.Database,FILESTAT!T$3,bfy1994_)),0,DAVERAGE(_xlnm.Database,FILESTAT!T$3,bfy1994_)),0)</f>
        <v>10</v>
      </c>
      <c r="U91" s="122">
        <f>ROUND(IF(ISERROR(DAVERAGE(_xlnm.Database,FILESTAT!U$3,bfy1994_)),0,DAVERAGE(_xlnm.Database,FILESTAT!U$3,bfy1994_)),0)</f>
        <v>0</v>
      </c>
      <c r="V91" s="122"/>
      <c r="W91" s="122">
        <f>ROUND(IF(ISERROR(DAVERAGE(_xlnm.Database,FILESTAT!W$3,bfy1994_)),0,DAVERAGE(_xlnm.Database,FILESTAT!W$3,bfy1994_)),0)</f>
        <v>3</v>
      </c>
      <c r="X91" s="123">
        <f>ROUND(IF(ISERROR(DAVERAGE(_xlnm.Database,FILESTAT!X$3,bfy1994_)),0,DAVERAGE(_xlnm.Database,FILESTAT!X$3,bfy1994_)),0)</f>
        <v>0</v>
      </c>
      <c r="Z91" s="121">
        <f>ROUND(IF(ISERROR(DAVERAGE(_xlnm.Database,FILESTAT!Z$3,bfy1994_)),0,DAVERAGE(_xlnm.Database,FILESTAT!Z$3,bfy1994_)),0)</f>
        <v>0</v>
      </c>
      <c r="AA91" s="122">
        <f>ROUND(IF(ISERROR(DAVERAGE(_xlnm.Database,FILESTAT!AA$3,bfy1994_)),0,DAVERAGE(_xlnm.Database,FILESTAT!AA$3,bfy1994_)),0)</f>
        <v>1455665</v>
      </c>
      <c r="AB91" s="122"/>
      <c r="AC91" s="121">
        <f>ROUND(IF(ISERROR(DAVERAGE(_xlnm.Database,FILESTAT!AC$3,bfy1994_)),0,DAVERAGE(_xlnm.Database,FILESTAT!AC$3,bfy1994_)),0)</f>
        <v>0</v>
      </c>
      <c r="AD91" s="122">
        <f>ROUND(IF(ISERROR(DAVERAGE(_xlnm.Database,FILESTAT!AD$3,bfy1994_)),0,DAVERAGE(_xlnm.Database,FILESTAT!AD$3,bfy1994_)),0)</f>
        <v>0</v>
      </c>
      <c r="AE91" s="120"/>
      <c r="AG91" s="121">
        <f>ROUND(IF(ISERROR(DAVERAGE(_xlnm.Database,FILESTAT!AG$3,bfy1994_)),0,DAVERAGE(_xlnm.Database,FILESTAT!AG$3,bfy1994_)),0)</f>
        <v>92</v>
      </c>
      <c r="AH91" s="122">
        <f>ROUND(IF(ISERROR(DAVERAGE(_xlnm.Database,FILESTAT!AH$3,bfy1994_)),0,DAVERAGE(_xlnm.Database,FILESTAT!AH$3,bfy1994_)),0)</f>
        <v>22</v>
      </c>
      <c r="AI91" s="122">
        <f>ROUND(IF(ISERROR(DAVERAGE(_xlnm.Database,FILESTAT!AI$3,bfy1994_)),0,DAVERAGE(_xlnm.Database,FILESTAT!AI$3,bfy1994_)),0)</f>
        <v>140</v>
      </c>
      <c r="AJ91" s="123">
        <f>ROUND(IF(ISERROR(DAVERAGE(_xlnm.Database,FILESTAT!AJ$3,bfy1994_)),0,DAVERAGE(_xlnm.Database,FILESTAT!AJ$3,bfy1994_)),0)</f>
        <v>20</v>
      </c>
      <c r="AL91" s="121">
        <f>ROUND(IF(ISERROR(DAVERAGE(_xlnm.Database,FILESTAT!AL$3,bfy1994_)),0,DAVERAGE(_xlnm.Database,FILESTAT!AL$3,bfy1994_)),0)</f>
        <v>33</v>
      </c>
      <c r="AM91" s="122">
        <f>ROUND(IF(ISERROR(DAVERAGE(_xlnm.Database,FILESTAT!AM$3,bfy1994_)),0,DAVERAGE(_xlnm.Database,FILESTAT!AM$3,bfy1994_)),0)</f>
        <v>148</v>
      </c>
      <c r="AN91" s="120">
        <f t="shared" ref="AN91:AN99" si="213">ROUND(SUM(AL91:AM91),0)</f>
        <v>181</v>
      </c>
      <c r="AO91" s="122">
        <f>ROUND(IF(ISERROR(DAVERAGE(_xlnm.Database,FILESTAT!AO$3,bfy1994_)),0,DAVERAGE(_xlnm.Database,FILESTAT!AO$3,bfy1994_)),0)</f>
        <v>175</v>
      </c>
      <c r="AP91" s="122">
        <f>ROUND(IF(ISERROR(DAVERAGE(_xlnm.Database,FILESTAT!AP$3,bfy1994_)),0,DAVERAGE(_xlnm.Database,FILESTAT!AP$3,bfy1994_)),0)</f>
        <v>32</v>
      </c>
      <c r="AQ91" s="120">
        <f t="shared" ref="AQ91:AQ99" si="214">ROUND(SUM(AO91:AP91),0)</f>
        <v>207</v>
      </c>
      <c r="AR91" s="122">
        <f>ROUND(IF(ISERROR(DAVERAGE(_xlnm.Database,FILESTAT!AR$3,bfy1994_)),0,DAVERAGE(_xlnm.Database,FILESTAT!AR$3,bfy1994_)),0)</f>
        <v>0</v>
      </c>
      <c r="AS91" s="122">
        <f>ROUND(IF(ISERROR(DAVERAGE(_xlnm.Database,FILESTAT!AS$3,bfy1994_)),0,DAVERAGE(_xlnm.Database,FILESTAT!AS$3,bfy1994_)),0)</f>
        <v>0</v>
      </c>
      <c r="AT91" s="122">
        <f>ROUND(IF(ISERROR(DAVERAGE(_xlnm.Database,FILESTAT!AT$3,bfy1994_)),0,DAVERAGE(_xlnm.Database,FILESTAT!AT$3,bfy1994_)),0)</f>
        <v>0</v>
      </c>
      <c r="AU91" s="122">
        <f>ROUND(IF(ISERROR(DAVERAGE(_xlnm.Database,FILESTAT!AU$3,bfy1994_)),0,DAVERAGE(_xlnm.Database,FILESTAT!AU$3,bfy1994_)),0)</f>
        <v>0</v>
      </c>
      <c r="AV91" s="123">
        <f>ROUND(IF(ISERROR(DAVERAGE(_xlnm.Database,FILESTAT!AV$3,bfy1994_)),0,DAVERAGE(_xlnm.Database,FILESTAT!AV$3,bfy1994_)),0)</f>
        <v>0</v>
      </c>
      <c r="AW91"/>
      <c r="AX91" s="356"/>
      <c r="AY91"/>
      <c r="BA91" s="121">
        <f>ROUND(IF(ISERROR(DAVERAGE(_xlnm.Database,FILESTAT!BA$3,bfy1994_)),0,DAVERAGE(_xlnm.Database,FILESTAT!BA$3,bfy1994_)),0)</f>
        <v>1549</v>
      </c>
      <c r="BB91" s="122">
        <f>ROUND(IF(ISERROR(DAVERAGE(_xlnm.Database,FILESTAT!BB$3,bfy1994_)),0,DAVERAGE(_xlnm.Database,FILESTAT!BB$3,bfy1994_)),0)</f>
        <v>0</v>
      </c>
      <c r="BC91" s="122">
        <f>ROUND(IF(ISERROR(DAVERAGE(_xlnm.Database,FILESTAT!BC$3,bfy1994_)),0,DAVERAGE(_xlnm.Database,FILESTAT!BC$3,bfy1994_)),0)</f>
        <v>18162688</v>
      </c>
      <c r="BD91" s="122"/>
      <c r="BE91" s="122">
        <f>ROUND(IF(ISERROR(DAVERAGE(_xlnm.Database,FILESTAT!BE$3,bfy1994_)),0,DAVERAGE(_xlnm.Database,FILESTAT!BE$3,bfy1994_)),0)</f>
        <v>86</v>
      </c>
      <c r="BF91" s="122">
        <f>ROUND(IF(ISERROR(DAVERAGE(_xlnm.Database,FILESTAT!BF$3,bfy1994_)),0,DAVERAGE(_xlnm.Database,FILESTAT!BF$3,bfy1994_)),0)</f>
        <v>9</v>
      </c>
      <c r="BG91" s="122">
        <f>ROUND(IF(ISERROR(DAVERAGE(_xlnm.Database,FILESTAT!BG$3,bfy1994_)),0,DAVERAGE(_xlnm.Database,FILESTAT!BG$3,bfy1994_)),0)</f>
        <v>4</v>
      </c>
      <c r="BH91" s="122"/>
      <c r="BI91" s="122">
        <f>ROUND(IF(ISERROR(DAVERAGE(_xlnm.Database,FILESTAT!BI$3,bfy1994_)),0,DAVERAGE(_xlnm.Database,FILESTAT!BI$3,bfy1994_)),0)</f>
        <v>0</v>
      </c>
      <c r="BJ91" s="122"/>
      <c r="BK91" s="122"/>
      <c r="BL91" s="122"/>
      <c r="BM91" s="123">
        <f>ROUND(IF(ISERROR(DAVERAGE(_xlnm.Database,FILESTAT!BM$3,bfy1994_)),0,DAVERAGE(_xlnm.Database,FILESTAT!BM$3,bfy1994_)),0)</f>
        <v>3592</v>
      </c>
      <c r="BO91" s="121">
        <f>ROUND(IF(ISERROR(DAVERAGE(_xlnm.Database,FILESTAT!BO$3,bfy1994_)),0,DAVERAGE(_xlnm.Database,FILESTAT!BO$3,bfy1994_)),0)</f>
        <v>0</v>
      </c>
      <c r="BP91" s="123">
        <f>ROUND(IF(ISERROR(DAVERAGE(_xlnm.Database,FILESTAT!BP$3,bfy1994_)),0,DAVERAGE(_xlnm.Database,FILESTAT!BP$3,bfy1994_)),0)</f>
        <v>0</v>
      </c>
      <c r="BR91" s="250"/>
      <c r="BS91" s="178"/>
      <c r="BT91" s="251"/>
      <c r="BV91" s="121">
        <f>ROUND(IF(ISERROR(DAVERAGE(_xlnm.Database,FILESTAT!BV$3,bfy1994_)),0,DAVERAGE(_xlnm.Database,FILESTAT!BV$3,bfy1994_)),0)</f>
        <v>4</v>
      </c>
      <c r="BW91" s="122">
        <f>ROUND(IF(ISERROR(DAVERAGE(_xlnm.Database,FILESTAT!BW$3,bfy1994_)),0,DAVERAGE(_xlnm.Database,FILESTAT!BW$3,bfy1994_)),0)</f>
        <v>4</v>
      </c>
      <c r="BX91" s="122">
        <f>ROUND(IF(ISERROR(DAVERAGE(_xlnm.Database,FILESTAT!BX$3,bfy1994_)),0,DAVERAGE(_xlnm.Database,FILESTAT!BX$3,bfy1994_)),0)</f>
        <v>0</v>
      </c>
      <c r="BY91" s="122">
        <f>ROUND(IF(ISERROR(DAVERAGE(_xlnm.Database,FILESTAT!BY$3,bfy1994_)),0,DAVERAGE(_xlnm.Database,FILESTAT!BY$3,bfy1994_)),0)</f>
        <v>0</v>
      </c>
      <c r="BZ91" s="122">
        <f>ROUND(IF(ISERROR(DAVERAGE(_xlnm.Database,FILESTAT!BZ$3,bfy1994_)),0,DAVERAGE(_xlnm.Database,FILESTAT!BZ$3,bfy1994_)),0)</f>
        <v>0</v>
      </c>
      <c r="CA91" s="122">
        <f>ROUND(IF(ISERROR(DAVERAGE(_xlnm.Database,FILESTAT!CA$3,bfy1994_)),0,DAVERAGE(_xlnm.Database,FILESTAT!CA$3,bfy1994_)),0)</f>
        <v>0</v>
      </c>
      <c r="CB91" s="122">
        <f>ROUND(IF(ISERROR(DAVERAGE(_xlnm.Database,FILESTAT!CB$3,bfy1994_)),0,DAVERAGE(_xlnm.Database,FILESTAT!CB$3,bfy1994_)),0)</f>
        <v>0</v>
      </c>
      <c r="CC91" s="122"/>
      <c r="CD91" s="122">
        <f>ROUND(IF(ISERROR(DAVERAGE(_xlnm.Database,FILESTAT!CD$3,bfy1994_)),0,DAVERAGE(_xlnm.Database,FILESTAT!CD$3,bfy1994_)),0)</f>
        <v>6</v>
      </c>
      <c r="CE91" s="122">
        <f>ROUND(IF(ISERROR(DAVERAGE(_xlnm.Database,FILESTAT!CE$3,bfy1994_)),0,DAVERAGE(_xlnm.Database,FILESTAT!CE$3,bfy1994_)),0)</f>
        <v>0</v>
      </c>
      <c r="CF91" s="122">
        <f>ROUND(IF(ISERROR(DAVERAGE(_xlnm.Database,FILESTAT!CF$3,bfy1994_)),0,DAVERAGE(_xlnm.Database,FILESTAT!CF$3,bfy1994_)),0)</f>
        <v>1</v>
      </c>
      <c r="CG91" s="122">
        <f>ROUND(IF(ISERROR(DAVERAGE(_xlnm.Database,FILESTAT!CG$3,bfy1994_)),0,DAVERAGE(_xlnm.Database,FILESTAT!CG$3,bfy1994_)),0)</f>
        <v>1</v>
      </c>
      <c r="CH91" s="122">
        <f>ROUND(IF(ISERROR(DAVERAGE(_xlnm.Database,FILESTAT!CH$3,bfy1994_)),0,DAVERAGE(_xlnm.Database,FILESTAT!CH$3,bfy1994_)),0)</f>
        <v>0</v>
      </c>
      <c r="CI91" s="122">
        <f>ROUND(IF(ISERROR(DAVERAGE(_xlnm.Database,FILESTAT!CI$3,bfy1994_)),0,DAVERAGE(_xlnm.Database,FILESTAT!CI$3,bfy1994_)),0)</f>
        <v>2</v>
      </c>
      <c r="CJ91" s="122">
        <f>ROUND(IF(ISERROR(DAVERAGE(_xlnm.Database,FILESTAT!CJ$3,bfy1994_)),0,DAVERAGE(_xlnm.Database,FILESTAT!CJ$3,bfy1994_)),0)</f>
        <v>7</v>
      </c>
      <c r="CK91" s="122"/>
      <c r="CL91" s="122"/>
      <c r="CM91" s="122">
        <f>ROUND(IF(ISERROR(DAVERAGE(_xlnm.Database,FILESTAT!CM$3,bfy1994_)),0,DAVERAGE(_xlnm.Database,FILESTAT!CM$3,bfy1994_)),0)</f>
        <v>0</v>
      </c>
      <c r="CN91" s="122">
        <f>ROUND(IF(ISERROR(DAVERAGE(_xlnm.Database,FILESTAT!CN$3,bfy1994_)),0,DAVERAGE(_xlnm.Database,FILESTAT!CN$3,bfy1994_)),0)</f>
        <v>0</v>
      </c>
      <c r="CO91" s="122">
        <f>ROUND(IF(ISERROR(DAVERAGE(_xlnm.Database,FILESTAT!CO$3,bfy1994_)),0,DAVERAGE(_xlnm.Database,FILESTAT!CO$3,bfy1994_)),0)</f>
        <v>5</v>
      </c>
      <c r="CP91" s="122"/>
      <c r="CQ91" s="122">
        <f>ROUND(IF(ISERROR(DAVERAGE(_xlnm.Database,FILESTAT!CQ$3,bfy1994_)),0,DAVERAGE(_xlnm.Database,FILESTAT!CQ$3,bfy1994_)),0)</f>
        <v>0</v>
      </c>
      <c r="CR91" s="122"/>
      <c r="CS91" s="122">
        <f>ROUND(IF(ISERROR(DAVERAGE(_xlnm.Database,FILESTAT!CS$3,bfy1994_)),0,DAVERAGE(_xlnm.Database,FILESTAT!CS$3,bfy1994_)),0)</f>
        <v>2</v>
      </c>
      <c r="CT91" s="122">
        <f>ROUND(IF(ISERROR(DAVERAGE(_xlnm.Database,FILESTAT!CT$3,bfy1994_)),0,DAVERAGE(_xlnm.Database,FILESTAT!CT$3,bfy1994_)),0)</f>
        <v>6</v>
      </c>
      <c r="CU91" s="122">
        <f>ROUND(IF(ISERROR(DAVERAGE(_xlnm.Database,FILESTAT!CU$3,bfy1994_)),0,DAVERAGE(_xlnm.Database,FILESTAT!CU$3,bfy1994_)),0)</f>
        <v>6</v>
      </c>
      <c r="CV91" s="122">
        <f>ROUND(IF(ISERROR(DAVERAGE(_xlnm.Database,FILESTAT!CV$3,bfy1994_)),0,DAVERAGE(_xlnm.Database,FILESTAT!CV$3,bfy1994_)),0)</f>
        <v>2</v>
      </c>
      <c r="CW91" s="122">
        <f>ROUND(IF(ISERROR(DAVERAGE(_xlnm.Database,FILESTAT!CW$3,bfy1994_)),0,DAVERAGE(_xlnm.Database,FILESTAT!CW$3,bfy1994_)),0)</f>
        <v>0</v>
      </c>
      <c r="CX91" s="122"/>
      <c r="CY91" s="122">
        <f>ROUND(IF(ISERROR(DAVERAGE(_xlnm.Database,FILESTAT!CY$3,bfy1994_)),0,DAVERAGE(_xlnm.Database,FILESTAT!CY$3,bfy1994_)),0)</f>
        <v>0</v>
      </c>
      <c r="CZ91" s="122">
        <f>ROUND(IF(ISERROR(DAVERAGE(_xlnm.Database,FILESTAT!CZ$3,bfy1994_)),0,DAVERAGE(_xlnm.Database,FILESTAT!CZ$3,bfy1994_)),0)</f>
        <v>0</v>
      </c>
      <c r="DA91" s="122">
        <f>ROUND(IF(ISERROR(DAVERAGE(_xlnm.Database,FILESTAT!DA$3,bfy1994_)),0,DAVERAGE(_xlnm.Database,FILESTAT!DA$3,bfy1994_)),0)</f>
        <v>0</v>
      </c>
      <c r="DB91" s="122">
        <f>ROUND(IF(ISERROR(DAVERAGE(_xlnm.Database,FILESTAT!DB$3,bfy1994_)),0,DAVERAGE(_xlnm.Database,FILESTAT!DB$3,bfy1994_)),0)</f>
        <v>6</v>
      </c>
      <c r="DC91" s="122">
        <f>ROUND(IF(ISERROR(DAVERAGE(_xlnm.Database,FILESTAT!DC$3,bfy1994_)),0,DAVERAGE(_xlnm.Database,FILESTAT!DC$3,bfy1994_)),0)</f>
        <v>0</v>
      </c>
      <c r="DD91" s="122">
        <f>ROUND(IF(ISERROR(DAVERAGE(_xlnm.Database,FILESTAT!DD$3,bfy1994_)),0,DAVERAGE(_xlnm.Database,FILESTAT!DD$3,bfy1994_)),0)</f>
        <v>0</v>
      </c>
      <c r="DE91" s="122">
        <f>ROUND(IF(ISERROR(DAVERAGE(_xlnm.Database,FILESTAT!DE$3,bfy1994_)),0,DAVERAGE(_xlnm.Database,FILESTAT!DE$3,bfy1994_)),0)</f>
        <v>0</v>
      </c>
      <c r="DF91" s="122">
        <f>ROUND(IF(ISERROR(DAVERAGE(_xlnm.Database,FILESTAT!DF$3,bfy1994_)),0,DAVERAGE(_xlnm.Database,FILESTAT!DF$3,bfy1994_)),0)</f>
        <v>0</v>
      </c>
      <c r="DG91" s="122">
        <f>ROUND(IF(ISERROR(DAVERAGE(_xlnm.Database,FILESTAT!DG$3,bfy1994_)),0,DAVERAGE(_xlnm.Database,FILESTAT!DG$3,bfy1994_)),0)</f>
        <v>2</v>
      </c>
      <c r="DH91" s="122">
        <f>ROUND(IF(ISERROR(DAVERAGE(_xlnm.Database,FILESTAT!DH$3,bfy1994_)),0,DAVERAGE(_xlnm.Database,FILESTAT!DH$3,bfy1994_)),0)</f>
        <v>1</v>
      </c>
      <c r="DI91" s="122">
        <f>ROUND(IF(ISERROR(DAVERAGE(_xlnm.Database,FILESTAT!DI$3,bfy1994_)),0,DAVERAGE(_xlnm.Database,FILESTAT!DI$3,bfy1994_)),0)</f>
        <v>1</v>
      </c>
      <c r="DJ91" s="122">
        <f>ROUND(IF(ISERROR(DAVERAGE(_xlnm.Database,FILESTAT!DJ$3,bfy1994_)),0,DAVERAGE(_xlnm.Database,FILESTAT!DJ$3,bfy1994_)),0)</f>
        <v>0</v>
      </c>
      <c r="DK91" s="122"/>
      <c r="DL91" s="122">
        <f>ROUND(IF(ISERROR(DAVERAGE(_xlnm.Database,FILESTAT!DL$3,bfy1994_)),0,DAVERAGE(_xlnm.Database,FILESTAT!DL$3,bfy1994_)),0)</f>
        <v>0</v>
      </c>
      <c r="DM91" s="122">
        <f>ROUND(IF(ISERROR(DAVERAGE(_xlnm.Database,FILESTAT!DM$3,bfy1994_)),0,DAVERAGE(_xlnm.Database,FILESTAT!DM$3,bfy1994_)),0)</f>
        <v>3</v>
      </c>
      <c r="DN91" s="122">
        <f>ROUND(IF(ISERROR(DAVERAGE(_xlnm.Database,FILESTAT!DN$3,bfy1994_)),0,DAVERAGE(_xlnm.Database,FILESTAT!DN$3,bfy1994_)),0)</f>
        <v>0</v>
      </c>
      <c r="DO91" s="122">
        <f>ROUND(IF(ISERROR(DAVERAGE(_xlnm.Database,FILESTAT!DO$3,bfy1994_)),0,DAVERAGE(_xlnm.Database,FILESTAT!DO$3,bfy1994_)),0)</f>
        <v>1</v>
      </c>
      <c r="DP91" s="122">
        <f>ROUND(IF(ISERROR(DAVERAGE(_xlnm.Database,FILESTAT!DP$3,bfy1994_)),0,DAVERAGE(_xlnm.Database,FILESTAT!DP$3,bfy1994_)),0)</f>
        <v>0</v>
      </c>
      <c r="DQ91" s="122">
        <f>ROUND(IF(ISERROR(DAVERAGE(_xlnm.Database,FILESTAT!DQ$3,bfy1994_)),0,DAVERAGE(_xlnm.Database,FILESTAT!DQ$3,bfy1994_)),0)</f>
        <v>0</v>
      </c>
      <c r="DR91" s="122"/>
      <c r="DS91" s="122">
        <f>ROUND(IF(ISERROR(DAVERAGE(_xlnm.Database,FILESTAT!DS$3,bfy1994_)),0,DAVERAGE(_xlnm.Database,FILESTAT!DS$3,bfy1994_)),0)</f>
        <v>0</v>
      </c>
      <c r="DT91" s="122">
        <f>ROUND(IF(ISERROR(DAVERAGE(_xlnm.Database,FILESTAT!DT$3,bfy1994_)),0,DAVERAGE(_xlnm.Database,FILESTAT!DT$3,bfy1994_)),0)</f>
        <v>2</v>
      </c>
      <c r="DU91" s="122">
        <f>ROUND(IF(ISERROR(DAVERAGE(_xlnm.Database,FILESTAT!DU$3,bfy1994_)),0,DAVERAGE(_xlnm.Database,FILESTAT!DU$3,bfy1994_)),0)</f>
        <v>0</v>
      </c>
      <c r="DV91" s="127">
        <f t="shared" si="212"/>
        <v>62</v>
      </c>
      <c r="DW91" s="128"/>
    </row>
    <row r="92" spans="1:129" s="111" customFormat="1">
      <c r="A92" s="228">
        <v>1995</v>
      </c>
      <c r="B92" s="24"/>
      <c r="C92" s="121">
        <f>ROUND(IF(ISERROR(DAVERAGE(_xlnm.Database,FILESTAT!C$3,bfy1995_)),0,DAVERAGE(_xlnm.Database,FILESTAT!C$3,bfy1995_)),0)</f>
        <v>3</v>
      </c>
      <c r="D92" s="122">
        <f>ROUND(IF(ISERROR(DAVERAGE(_xlnm.Database,FILESTAT!D$3,bfy1995_)),0,DAVERAGE(_xlnm.Database,FILESTAT!D$3,bfy1995_)),0)</f>
        <v>19</v>
      </c>
      <c r="E92" s="122">
        <f>ROUND(IF(ISERROR(DAVERAGE(_xlnm.Database,FILESTAT!E$3,bfy1995_)),0,DAVERAGE(_xlnm.Database,FILESTAT!E$3,bfy1995_)),0)</f>
        <v>2</v>
      </c>
      <c r="F92" s="122">
        <f>ROUND(IF(ISERROR(DAVERAGE(_xlnm.Database,FILESTAT!F$3,bfy1995_)),0,DAVERAGE(_xlnm.Database,FILESTAT!F$3,bfy1995_)),0)</f>
        <v>1</v>
      </c>
      <c r="G92" s="122">
        <f>ROUND(IF(ISERROR(DAVERAGE(_xlnm.Database,FILESTAT!G$3,bfy1995_)),0,DAVERAGE(_xlnm.Database,FILESTAT!G$3,bfy1995_)),0)</f>
        <v>2</v>
      </c>
      <c r="H92" s="122">
        <f>ROUND(IF(ISERROR(DAVERAGE(_xlnm.Database,FILESTAT!H$3,bfy1995_)),0,DAVERAGE(_xlnm.Database,FILESTAT!H$3,bfy1995_)),0)</f>
        <v>1</v>
      </c>
      <c r="I92" s="122">
        <f>ROUND(IF(ISERROR(DAVERAGE(_xlnm.Database,FILESTAT!I$3,bfy1995_)),0,DAVERAGE(_xlnm.Database,FILESTAT!I$3,bfy1995_)),0)</f>
        <v>0</v>
      </c>
      <c r="J92" s="122">
        <f>ROUND(IF(ISERROR(DAVERAGE(_xlnm.Database,FILESTAT!J$3,bfy1995_)),0,DAVERAGE(_xlnm.Database,FILESTAT!J$3,bfy1995_)),0)</f>
        <v>4</v>
      </c>
      <c r="K92" s="122">
        <f>ROUND(IF(ISERROR(DAVERAGE(_xlnm.Database,FILESTAT!K$3,bfy1995_)),0,DAVERAGE(_xlnm.Database,FILESTAT!K$3,bfy1995_)),0)</f>
        <v>0</v>
      </c>
      <c r="L92" s="122">
        <f>ROUND(IF(ISERROR(DAVERAGE(_xlnm.Database,FILESTAT!L$3,bfy1995_)),0,DAVERAGE(_xlnm.Database,FILESTAT!L$3,bfy1995_)),0)</f>
        <v>0</v>
      </c>
      <c r="M92" s="122">
        <f>ROUND(IF(ISERROR(DAVERAGE(_xlnm.Database,FILESTAT!M$3,bfy1995_)),0,DAVERAGE(_xlnm.Database,FILESTAT!M$3,bfy1995_)),0)</f>
        <v>0</v>
      </c>
      <c r="N92" s="122">
        <f>ROUND(IF(ISERROR(DAVERAGE(_xlnm.Database,FILESTAT!N$3,bfy1995_)),0,DAVERAGE(_xlnm.Database,FILESTAT!N$3,bfy1995_)),0)</f>
        <v>0</v>
      </c>
      <c r="O92" s="122">
        <f>ROUND(IF(ISERROR(DAVERAGE(_xlnm.Database,FILESTAT!O$3,bfy1995_)),0,DAVERAGE(_xlnm.Database,FILESTAT!O$3,bfy1995_)),0)</f>
        <v>13</v>
      </c>
      <c r="P92" s="122">
        <f>ROUND(IF(ISERROR(DAVERAGE(_xlnm.Database,FILESTAT!P$3,bfy1995_)),0,DAVERAGE(_xlnm.Database,FILESTAT!P$3,bfy1995_)),0)</f>
        <v>1</v>
      </c>
      <c r="Q92" s="122">
        <f>ROUND(IF(ISERROR(DAVERAGE(_xlnm.Database,FILESTAT!Q$3,bfy1995_)),0,DAVERAGE(_xlnm.Database,FILESTAT!Q$3,bfy1995_)),0)</f>
        <v>0</v>
      </c>
      <c r="R92" s="122">
        <f>ROUND(IF(ISERROR(DAVERAGE(_xlnm.Database,FILESTAT!R$3,bfy1995_)),0,DAVERAGE(_xlnm.Database,FILESTAT!R$3,bfy1995_)),0)</f>
        <v>0</v>
      </c>
      <c r="S92" s="120">
        <f t="shared" si="211"/>
        <v>46</v>
      </c>
      <c r="T92" s="122">
        <f>ROUND(IF(ISERROR(DAVERAGE(_xlnm.Database,FILESTAT!T$3,bfy1995_)),0,DAVERAGE(_xlnm.Database,FILESTAT!T$3,bfy1995_)),0)</f>
        <v>7</v>
      </c>
      <c r="U92" s="122">
        <f>ROUND(IF(ISERROR(DAVERAGE(_xlnm.Database,FILESTAT!U$3,bfy1995_)),0,DAVERAGE(_xlnm.Database,FILESTAT!U$3,bfy1995_)),0)</f>
        <v>0</v>
      </c>
      <c r="V92" s="122"/>
      <c r="W92" s="122">
        <f>ROUND(IF(ISERROR(DAVERAGE(_xlnm.Database,FILESTAT!W$3,bfy1995_)),0,DAVERAGE(_xlnm.Database,FILESTAT!W$3,bfy1995_)),0)</f>
        <v>2</v>
      </c>
      <c r="X92" s="123">
        <f>ROUND(IF(ISERROR(DAVERAGE(_xlnm.Database,FILESTAT!X$3,bfy1995_)),0,DAVERAGE(_xlnm.Database,FILESTAT!X$3,bfy1995_)),0)</f>
        <v>1</v>
      </c>
      <c r="Z92" s="121">
        <f>ROUND(IF(ISERROR(DAVERAGE(_xlnm.Database,FILESTAT!Z$3,bfy1995_)),0,DAVERAGE(_xlnm.Database,FILESTAT!Z$3,bfy1995_)),0)</f>
        <v>920152</v>
      </c>
      <c r="AA92" s="122">
        <f>ROUND(IF(ISERROR(DAVERAGE(_xlnm.Database,FILESTAT!AA$3,bfy1995_)),0,DAVERAGE(_xlnm.Database,FILESTAT!AA$3,bfy1995_)),0)</f>
        <v>1035890</v>
      </c>
      <c r="AB92" s="122"/>
      <c r="AC92" s="121">
        <f>ROUND(IF(ISERROR(DAVERAGE(_xlnm.Database,FILESTAT!AC$3,bfy1995_)),0,DAVERAGE(_xlnm.Database,FILESTAT!AC$3,bfy1995_)),0)</f>
        <v>0</v>
      </c>
      <c r="AD92" s="122">
        <f>ROUND(IF(ISERROR(DAVERAGE(_xlnm.Database,FILESTAT!AD$3,bfy1995_)),0,DAVERAGE(_xlnm.Database,FILESTAT!AD$3,bfy1995_)),0)</f>
        <v>0</v>
      </c>
      <c r="AE92" s="120"/>
      <c r="AG92" s="121">
        <f>ROUND(IF(ISERROR(DAVERAGE(_xlnm.Database,FILESTAT!AG$3,bfy1995_)),0,DAVERAGE(_xlnm.Database,FILESTAT!AG$3,bfy1995_)),0)</f>
        <v>90</v>
      </c>
      <c r="AH92" s="122">
        <f>ROUND(IF(ISERROR(DAVERAGE(_xlnm.Database,FILESTAT!AH$3,bfy1995_)),0,DAVERAGE(_xlnm.Database,FILESTAT!AH$3,bfy1995_)),0)</f>
        <v>32</v>
      </c>
      <c r="AI92" s="122">
        <f>ROUND(IF(ISERROR(DAVERAGE(_xlnm.Database,FILESTAT!AI$3,bfy1995_)),0,DAVERAGE(_xlnm.Database,FILESTAT!AI$3,bfy1995_)),0)</f>
        <v>140</v>
      </c>
      <c r="AJ92" s="123">
        <f>ROUND(IF(ISERROR(DAVERAGE(_xlnm.Database,FILESTAT!AJ$3,bfy1995_)),0,DAVERAGE(_xlnm.Database,FILESTAT!AJ$3,bfy1995_)),0)</f>
        <v>27</v>
      </c>
      <c r="AL92" s="121">
        <f>ROUND(IF(ISERROR(DAVERAGE(_xlnm.Database,FILESTAT!AL$3,bfy1995_)),0,DAVERAGE(_xlnm.Database,FILESTAT!AL$3,bfy1995_)),0)</f>
        <v>33</v>
      </c>
      <c r="AM92" s="122">
        <f>ROUND(IF(ISERROR(DAVERAGE(_xlnm.Database,FILESTAT!AM$3,bfy1995_)),0,DAVERAGE(_xlnm.Database,FILESTAT!AM$3,bfy1995_)),0)</f>
        <v>144</v>
      </c>
      <c r="AN92" s="120">
        <f t="shared" si="213"/>
        <v>177</v>
      </c>
      <c r="AO92" s="122">
        <f>ROUND(IF(ISERROR(DAVERAGE(_xlnm.Database,FILESTAT!AO$3,bfy1995_)),0,DAVERAGE(_xlnm.Database,FILESTAT!AO$3,bfy1995_)),0)</f>
        <v>171</v>
      </c>
      <c r="AP92" s="122">
        <f>ROUND(IF(ISERROR(DAVERAGE(_xlnm.Database,FILESTAT!AP$3,bfy1995_)),0,DAVERAGE(_xlnm.Database,FILESTAT!AP$3,bfy1995_)),0)</f>
        <v>23</v>
      </c>
      <c r="AQ92" s="120">
        <f t="shared" si="214"/>
        <v>194</v>
      </c>
      <c r="AR92" s="122">
        <f>ROUND(IF(ISERROR(DAVERAGE(_xlnm.Database,FILESTAT!AR$3,bfy1995_)),0,DAVERAGE(_xlnm.Database,FILESTAT!AR$3,bfy1995_)),0)</f>
        <v>0</v>
      </c>
      <c r="AS92" s="122">
        <f>ROUND(IF(ISERROR(DAVERAGE(_xlnm.Database,FILESTAT!AS$3,bfy1995_)),0,DAVERAGE(_xlnm.Database,FILESTAT!AS$3,bfy1995_)),0)</f>
        <v>0</v>
      </c>
      <c r="AT92" s="122">
        <f>ROUND(IF(ISERROR(DAVERAGE(_xlnm.Database,FILESTAT!AT$3,bfy1995_)),0,DAVERAGE(_xlnm.Database,FILESTAT!AT$3,bfy1995_)),0)</f>
        <v>0</v>
      </c>
      <c r="AU92" s="122">
        <f>ROUND(IF(ISERROR(DAVERAGE(_xlnm.Database,FILESTAT!AU$3,bfy1995_)),0,DAVERAGE(_xlnm.Database,FILESTAT!AU$3,bfy1995_)),0)</f>
        <v>0</v>
      </c>
      <c r="AV92" s="123">
        <f>ROUND(IF(ISERROR(DAVERAGE(_xlnm.Database,FILESTAT!AV$3,bfy1995_)),0,DAVERAGE(_xlnm.Database,FILESTAT!AV$3,bfy1995_)),0)</f>
        <v>0</v>
      </c>
      <c r="AW92"/>
      <c r="AX92" s="356"/>
      <c r="AY92"/>
      <c r="BA92" s="121">
        <f>ROUND(IF(ISERROR(DAVERAGE(_xlnm.Database,FILESTAT!BA$3,bfy1995_)),0,DAVERAGE(_xlnm.Database,FILESTAT!BA$3,bfy1995_)),0)</f>
        <v>1595</v>
      </c>
      <c r="BB92" s="122">
        <f>ROUND(IF(ISERROR(DAVERAGE(_xlnm.Database,FILESTAT!BB$3,bfy1995_)),0,DAVERAGE(_xlnm.Database,FILESTAT!BB$3,bfy1995_)),0)</f>
        <v>0</v>
      </c>
      <c r="BC92" s="122">
        <f>ROUND(IF(ISERROR(DAVERAGE(_xlnm.Database,FILESTAT!BC$3,bfy1995_)),0,DAVERAGE(_xlnm.Database,FILESTAT!BC$3,bfy1995_)),0)</f>
        <v>18537267</v>
      </c>
      <c r="BD92" s="122"/>
      <c r="BE92" s="122">
        <f>ROUND(IF(ISERROR(DAVERAGE(_xlnm.Database,FILESTAT!BE$3,bfy1995_)),0,DAVERAGE(_xlnm.Database,FILESTAT!BE$3,bfy1995_)),0)</f>
        <v>59</v>
      </c>
      <c r="BF92" s="122">
        <f>ROUND(IF(ISERROR(DAVERAGE(_xlnm.Database,FILESTAT!BF$3,bfy1995_)),0,DAVERAGE(_xlnm.Database,FILESTAT!BF$3,bfy1995_)),0)</f>
        <v>7</v>
      </c>
      <c r="BG92" s="122">
        <f>ROUND(IF(ISERROR(DAVERAGE(_xlnm.Database,FILESTAT!BG$3,bfy1995_)),0,DAVERAGE(_xlnm.Database,FILESTAT!BG$3,bfy1995_)),0)</f>
        <v>4</v>
      </c>
      <c r="BH92" s="122"/>
      <c r="BI92" s="122">
        <f>ROUND(IF(ISERROR(DAVERAGE(_xlnm.Database,FILESTAT!BI$3,bfy1995_)),0,DAVERAGE(_xlnm.Database,FILESTAT!BI$3,bfy1995_)),0)</f>
        <v>0</v>
      </c>
      <c r="BJ92" s="122"/>
      <c r="BK92" s="122"/>
      <c r="BL92" s="122"/>
      <c r="BM92" s="123">
        <f>ROUND(IF(ISERROR(DAVERAGE(_xlnm.Database,FILESTAT!BM$3,bfy1995_)),0,DAVERAGE(_xlnm.Database,FILESTAT!BM$3,bfy1995_)),0)</f>
        <v>4087</v>
      </c>
      <c r="BO92" s="121">
        <f>ROUND(IF(ISERROR(DAVERAGE(_xlnm.Database,FILESTAT!BO$3,bfy1995_)),0,DAVERAGE(_xlnm.Database,FILESTAT!BO$3,bfy1995_)),0)</f>
        <v>270</v>
      </c>
      <c r="BP92" s="123">
        <f>ROUND(IF(ISERROR(DAVERAGE(_xlnm.Database,FILESTAT!BP$3,bfy1995_)),0,DAVERAGE(_xlnm.Database,FILESTAT!BP$3,bfy1995_)),0)</f>
        <v>153</v>
      </c>
      <c r="BR92" s="250"/>
      <c r="BS92" s="178"/>
      <c r="BT92" s="251"/>
      <c r="BV92" s="121">
        <f>ROUND(IF(ISERROR(DAVERAGE(_xlnm.Database,FILESTAT!BV$3,bfy1995_)),0,DAVERAGE(_xlnm.Database,FILESTAT!BV$3,bfy1995_)),0)</f>
        <v>2</v>
      </c>
      <c r="BW92" s="122">
        <f>ROUND(IF(ISERROR(DAVERAGE(_xlnm.Database,FILESTAT!BW$3,bfy1995_)),0,DAVERAGE(_xlnm.Database,FILESTAT!BW$3,bfy1995_)),0)</f>
        <v>1</v>
      </c>
      <c r="BX92" s="122">
        <f>ROUND(IF(ISERROR(DAVERAGE(_xlnm.Database,FILESTAT!BX$3,bfy1995_)),0,DAVERAGE(_xlnm.Database,FILESTAT!BX$3,bfy1995_)),0)</f>
        <v>0</v>
      </c>
      <c r="BY92" s="122">
        <f>ROUND(IF(ISERROR(DAVERAGE(_xlnm.Database,FILESTAT!BY$3,bfy1995_)),0,DAVERAGE(_xlnm.Database,FILESTAT!BY$3,bfy1995_)),0)</f>
        <v>0</v>
      </c>
      <c r="BZ92" s="122">
        <f>ROUND(IF(ISERROR(DAVERAGE(_xlnm.Database,FILESTAT!BZ$3,bfy1995_)),0,DAVERAGE(_xlnm.Database,FILESTAT!BZ$3,bfy1995_)),0)</f>
        <v>0</v>
      </c>
      <c r="CA92" s="122">
        <f>ROUND(IF(ISERROR(DAVERAGE(_xlnm.Database,FILESTAT!CA$3,bfy1995_)),0,DAVERAGE(_xlnm.Database,FILESTAT!CA$3,bfy1995_)),0)</f>
        <v>0</v>
      </c>
      <c r="CB92" s="122">
        <f>ROUND(IF(ISERROR(DAVERAGE(_xlnm.Database,FILESTAT!CB$3,bfy1995_)),0,DAVERAGE(_xlnm.Database,FILESTAT!CB$3,bfy1995_)),0)</f>
        <v>0</v>
      </c>
      <c r="CC92" s="122"/>
      <c r="CD92" s="122">
        <f>ROUND(IF(ISERROR(DAVERAGE(_xlnm.Database,FILESTAT!CD$3,bfy1995_)),0,DAVERAGE(_xlnm.Database,FILESTAT!CD$3,bfy1995_)),0)</f>
        <v>4</v>
      </c>
      <c r="CE92" s="122">
        <f>ROUND(IF(ISERROR(DAVERAGE(_xlnm.Database,FILESTAT!CE$3,bfy1995_)),0,DAVERAGE(_xlnm.Database,FILESTAT!CE$3,bfy1995_)),0)</f>
        <v>0</v>
      </c>
      <c r="CF92" s="122">
        <f>ROUND(IF(ISERROR(DAVERAGE(_xlnm.Database,FILESTAT!CF$3,bfy1995_)),0,DAVERAGE(_xlnm.Database,FILESTAT!CF$3,bfy1995_)),0)</f>
        <v>0</v>
      </c>
      <c r="CG92" s="122">
        <f>ROUND(IF(ISERROR(DAVERAGE(_xlnm.Database,FILESTAT!CG$3,bfy1995_)),0,DAVERAGE(_xlnm.Database,FILESTAT!CG$3,bfy1995_)),0)</f>
        <v>0</v>
      </c>
      <c r="CH92" s="122">
        <f>ROUND(IF(ISERROR(DAVERAGE(_xlnm.Database,FILESTAT!CH$3,bfy1995_)),0,DAVERAGE(_xlnm.Database,FILESTAT!CH$3,bfy1995_)),0)</f>
        <v>0</v>
      </c>
      <c r="CI92" s="122">
        <f>ROUND(IF(ISERROR(DAVERAGE(_xlnm.Database,FILESTAT!CI$3,bfy1995_)),0,DAVERAGE(_xlnm.Database,FILESTAT!CI$3,bfy1995_)),0)</f>
        <v>4</v>
      </c>
      <c r="CJ92" s="122">
        <f>ROUND(IF(ISERROR(DAVERAGE(_xlnm.Database,FILESTAT!CJ$3,bfy1995_)),0,DAVERAGE(_xlnm.Database,FILESTAT!CJ$3,bfy1995_)),0)</f>
        <v>5</v>
      </c>
      <c r="CK92" s="122"/>
      <c r="CL92" s="122"/>
      <c r="CM92" s="122">
        <f>ROUND(IF(ISERROR(DAVERAGE(_xlnm.Database,FILESTAT!CM$3,bfy1995_)),0,DAVERAGE(_xlnm.Database,FILESTAT!CM$3,bfy1995_)),0)</f>
        <v>2</v>
      </c>
      <c r="CN92" s="122">
        <f>ROUND(IF(ISERROR(DAVERAGE(_xlnm.Database,FILESTAT!CN$3,bfy1995_)),0,DAVERAGE(_xlnm.Database,FILESTAT!CN$3,bfy1995_)),0)</f>
        <v>0</v>
      </c>
      <c r="CO92" s="122">
        <f>ROUND(IF(ISERROR(DAVERAGE(_xlnm.Database,FILESTAT!CO$3,bfy1995_)),0,DAVERAGE(_xlnm.Database,FILESTAT!CO$3,bfy1995_)),0)</f>
        <v>3</v>
      </c>
      <c r="CP92" s="122"/>
      <c r="CQ92" s="122">
        <f>ROUND(IF(ISERROR(DAVERAGE(_xlnm.Database,FILESTAT!CQ$3,bfy1995_)),0,DAVERAGE(_xlnm.Database,FILESTAT!CQ$3,bfy1995_)),0)</f>
        <v>0</v>
      </c>
      <c r="CR92" s="122"/>
      <c r="CS92" s="122">
        <f>ROUND(IF(ISERROR(DAVERAGE(_xlnm.Database,FILESTAT!CS$3,bfy1995_)),0,DAVERAGE(_xlnm.Database,FILESTAT!CS$3,bfy1995_)),0)</f>
        <v>1</v>
      </c>
      <c r="CT92" s="122">
        <f>ROUND(IF(ISERROR(DAVERAGE(_xlnm.Database,FILESTAT!CT$3,bfy1995_)),0,DAVERAGE(_xlnm.Database,FILESTAT!CT$3,bfy1995_)),0)</f>
        <v>3</v>
      </c>
      <c r="CU92" s="122">
        <f>ROUND(IF(ISERROR(DAVERAGE(_xlnm.Database,FILESTAT!CU$3,bfy1995_)),0,DAVERAGE(_xlnm.Database,FILESTAT!CU$3,bfy1995_)),0)</f>
        <v>3</v>
      </c>
      <c r="CV92" s="122">
        <f>ROUND(IF(ISERROR(DAVERAGE(_xlnm.Database,FILESTAT!CV$3,bfy1995_)),0,DAVERAGE(_xlnm.Database,FILESTAT!CV$3,bfy1995_)),0)</f>
        <v>2</v>
      </c>
      <c r="CW92" s="122">
        <f>ROUND(IF(ISERROR(DAVERAGE(_xlnm.Database,FILESTAT!CW$3,bfy1995_)),0,DAVERAGE(_xlnm.Database,FILESTAT!CW$3,bfy1995_)),0)</f>
        <v>0</v>
      </c>
      <c r="CX92" s="122"/>
      <c r="CY92" s="122">
        <f>ROUND(IF(ISERROR(DAVERAGE(_xlnm.Database,FILESTAT!CY$3,bfy1995_)),0,DAVERAGE(_xlnm.Database,FILESTAT!CY$3,bfy1995_)),0)</f>
        <v>0</v>
      </c>
      <c r="CZ92" s="122">
        <f>ROUND(IF(ISERROR(DAVERAGE(_xlnm.Database,FILESTAT!CZ$3,bfy1995_)),0,DAVERAGE(_xlnm.Database,FILESTAT!CZ$3,bfy1995_)),0)</f>
        <v>0</v>
      </c>
      <c r="DA92" s="122">
        <f>ROUND(IF(ISERROR(DAVERAGE(_xlnm.Database,FILESTAT!DA$3,bfy1995_)),0,DAVERAGE(_xlnm.Database,FILESTAT!DA$3,bfy1995_)),0)</f>
        <v>0</v>
      </c>
      <c r="DB92" s="122">
        <f>ROUND(IF(ISERROR(DAVERAGE(_xlnm.Database,FILESTAT!DB$3,bfy1995_)),0,DAVERAGE(_xlnm.Database,FILESTAT!DB$3,bfy1995_)),0)</f>
        <v>6</v>
      </c>
      <c r="DC92" s="122">
        <f>ROUND(IF(ISERROR(DAVERAGE(_xlnm.Database,FILESTAT!DC$3,bfy1995_)),0,DAVERAGE(_xlnm.Database,FILESTAT!DC$3,bfy1995_)),0)</f>
        <v>0</v>
      </c>
      <c r="DD92" s="122">
        <f>ROUND(IF(ISERROR(DAVERAGE(_xlnm.Database,FILESTAT!DD$3,bfy1995_)),0,DAVERAGE(_xlnm.Database,FILESTAT!DD$3,bfy1995_)),0)</f>
        <v>0</v>
      </c>
      <c r="DE92" s="122">
        <f>ROUND(IF(ISERROR(DAVERAGE(_xlnm.Database,FILESTAT!DE$3,bfy1995_)),0,DAVERAGE(_xlnm.Database,FILESTAT!DE$3,bfy1995_)),0)</f>
        <v>0</v>
      </c>
      <c r="DF92" s="122">
        <f>ROUND(IF(ISERROR(DAVERAGE(_xlnm.Database,FILESTAT!DF$3,bfy1995_)),0,DAVERAGE(_xlnm.Database,FILESTAT!DF$3,bfy1995_)),0)</f>
        <v>0</v>
      </c>
      <c r="DG92" s="122">
        <f>ROUND(IF(ISERROR(DAVERAGE(_xlnm.Database,FILESTAT!DG$3,bfy1995_)),0,DAVERAGE(_xlnm.Database,FILESTAT!DG$3,bfy1995_)),0)</f>
        <v>1</v>
      </c>
      <c r="DH92" s="122">
        <f>ROUND(IF(ISERROR(DAVERAGE(_xlnm.Database,FILESTAT!DH$3,bfy1995_)),0,DAVERAGE(_xlnm.Database,FILESTAT!DH$3,bfy1995_)),0)</f>
        <v>0</v>
      </c>
      <c r="DI92" s="122">
        <f>ROUND(IF(ISERROR(DAVERAGE(_xlnm.Database,FILESTAT!DI$3,bfy1995_)),0,DAVERAGE(_xlnm.Database,FILESTAT!DI$3,bfy1995_)),0)</f>
        <v>2</v>
      </c>
      <c r="DJ92" s="122">
        <f>ROUND(IF(ISERROR(DAVERAGE(_xlnm.Database,FILESTAT!DJ$3,bfy1995_)),0,DAVERAGE(_xlnm.Database,FILESTAT!DJ$3,bfy1995_)),0)</f>
        <v>0</v>
      </c>
      <c r="DK92" s="122"/>
      <c r="DL92" s="122">
        <f>ROUND(IF(ISERROR(DAVERAGE(_xlnm.Database,FILESTAT!DL$3,bfy1995_)),0,DAVERAGE(_xlnm.Database,FILESTAT!DL$3,bfy1995_)),0)</f>
        <v>0</v>
      </c>
      <c r="DM92" s="122">
        <f>ROUND(IF(ISERROR(DAVERAGE(_xlnm.Database,FILESTAT!DM$3,bfy1995_)),0,DAVERAGE(_xlnm.Database,FILESTAT!DM$3,bfy1995_)),0)</f>
        <v>3</v>
      </c>
      <c r="DN92" s="122">
        <f>ROUND(IF(ISERROR(DAVERAGE(_xlnm.Database,FILESTAT!DN$3,bfy1995_)),0,DAVERAGE(_xlnm.Database,FILESTAT!DN$3,bfy1995_)),0)</f>
        <v>0</v>
      </c>
      <c r="DO92" s="122">
        <f>ROUND(IF(ISERROR(DAVERAGE(_xlnm.Database,FILESTAT!DO$3,bfy1995_)),0,DAVERAGE(_xlnm.Database,FILESTAT!DO$3,bfy1995_)),0)</f>
        <v>0</v>
      </c>
      <c r="DP92" s="122">
        <f>ROUND(IF(ISERROR(DAVERAGE(_xlnm.Database,FILESTAT!DP$3,bfy1995_)),0,DAVERAGE(_xlnm.Database,FILESTAT!DP$3,bfy1995_)),0)</f>
        <v>0</v>
      </c>
      <c r="DQ92" s="122">
        <f>ROUND(IF(ISERROR(DAVERAGE(_xlnm.Database,FILESTAT!DQ$3,bfy1995_)),0,DAVERAGE(_xlnm.Database,FILESTAT!DQ$3,bfy1995_)),0)</f>
        <v>0</v>
      </c>
      <c r="DR92" s="122"/>
      <c r="DS92" s="122">
        <f>ROUND(IF(ISERROR(DAVERAGE(_xlnm.Database,FILESTAT!DS$3,bfy1995_)),0,DAVERAGE(_xlnm.Database,FILESTAT!DS$3,bfy1995_)),0)</f>
        <v>0</v>
      </c>
      <c r="DT92" s="122">
        <f>ROUND(IF(ISERROR(DAVERAGE(_xlnm.Database,FILESTAT!DT$3,bfy1995_)),0,DAVERAGE(_xlnm.Database,FILESTAT!DT$3,bfy1995_)),0)</f>
        <v>3</v>
      </c>
      <c r="DU92" s="122">
        <f>ROUND(IF(ISERROR(DAVERAGE(_xlnm.Database,FILESTAT!DU$3,bfy1995_)),0,DAVERAGE(_xlnm.Database,FILESTAT!DU$3,bfy1995_)),0)</f>
        <v>0</v>
      </c>
      <c r="DV92" s="127">
        <f t="shared" si="212"/>
        <v>45</v>
      </c>
      <c r="DW92" s="128"/>
    </row>
    <row r="93" spans="1:129" s="111" customFormat="1">
      <c r="A93" s="228">
        <v>1996</v>
      </c>
      <c r="B93" s="24"/>
      <c r="C93" s="121">
        <f>ROUND(IF(ISERROR(DAVERAGE(_xlnm.Database,FILESTAT!C$3,bfy1996_)),0,DAVERAGE(_xlnm.Database,FILESTAT!C$3,bfy1996_)),0)</f>
        <v>2</v>
      </c>
      <c r="D93" s="122">
        <f>ROUND(IF(ISERROR(DAVERAGE(_xlnm.Database,FILESTAT!D$3,bfy1996_)),0,DAVERAGE(_xlnm.Database,FILESTAT!D$3,bfy1996_)),0)</f>
        <v>18</v>
      </c>
      <c r="E93" s="122">
        <f>ROUND(IF(ISERROR(DAVERAGE(_xlnm.Database,FILESTAT!E$3,bfy1996_)),0,DAVERAGE(_xlnm.Database,FILESTAT!E$3,bfy1996_)),0)</f>
        <v>1</v>
      </c>
      <c r="F93" s="122">
        <f>ROUND(IF(ISERROR(DAVERAGE(_xlnm.Database,FILESTAT!F$3,bfy1996_)),0,DAVERAGE(_xlnm.Database,FILESTAT!F$3,bfy1996_)),0)</f>
        <v>0</v>
      </c>
      <c r="G93" s="122">
        <f>ROUND(IF(ISERROR(DAVERAGE(_xlnm.Database,FILESTAT!G$3,bfy1996_)),0,DAVERAGE(_xlnm.Database,FILESTAT!G$3,bfy1996_)),0)</f>
        <v>2</v>
      </c>
      <c r="H93" s="122">
        <f>ROUND(IF(ISERROR(DAVERAGE(_xlnm.Database,FILESTAT!H$3,bfy1996_)),0,DAVERAGE(_xlnm.Database,FILESTAT!H$3,bfy1996_)),0)</f>
        <v>1</v>
      </c>
      <c r="I93" s="122">
        <f>ROUND(IF(ISERROR(DAVERAGE(_xlnm.Database,FILESTAT!I$3,bfy1996_)),0,DAVERAGE(_xlnm.Database,FILESTAT!I$3,bfy1996_)),0)</f>
        <v>0</v>
      </c>
      <c r="J93" s="122">
        <f>ROUND(IF(ISERROR(DAVERAGE(_xlnm.Database,FILESTAT!J$3,bfy1996_)),0,DAVERAGE(_xlnm.Database,FILESTAT!J$3,bfy1996_)),0)</f>
        <v>3</v>
      </c>
      <c r="K93" s="122">
        <f>ROUND(IF(ISERROR(DAVERAGE(_xlnm.Database,FILESTAT!K$3,bfy1996_)),0,DAVERAGE(_xlnm.Database,FILESTAT!K$3,bfy1996_)),0)</f>
        <v>0</v>
      </c>
      <c r="L93" s="122">
        <f>ROUND(IF(ISERROR(DAVERAGE(_xlnm.Database,FILESTAT!L$3,bfy1996_)),0,DAVERAGE(_xlnm.Database,FILESTAT!L$3,bfy1996_)),0)</f>
        <v>0</v>
      </c>
      <c r="M93" s="122">
        <f>ROUND(IF(ISERROR(DAVERAGE(_xlnm.Database,FILESTAT!M$3,bfy1996_)),0,DAVERAGE(_xlnm.Database,FILESTAT!M$3,bfy1996_)),0)</f>
        <v>0</v>
      </c>
      <c r="N93" s="122">
        <f>ROUND(IF(ISERROR(DAVERAGE(_xlnm.Database,FILESTAT!N$3,bfy1996_)),0,DAVERAGE(_xlnm.Database,FILESTAT!N$3,bfy1996_)),0)</f>
        <v>0</v>
      </c>
      <c r="O93" s="122">
        <f>ROUND(IF(ISERROR(DAVERAGE(_xlnm.Database,FILESTAT!O$3,bfy1996_)),0,DAVERAGE(_xlnm.Database,FILESTAT!O$3,bfy1996_)),0)</f>
        <v>9</v>
      </c>
      <c r="P93" s="122">
        <f>ROUND(IF(ISERROR(DAVERAGE(_xlnm.Database,FILESTAT!P$3,bfy1996_)),0,DAVERAGE(_xlnm.Database,FILESTAT!P$3,bfy1996_)),0)</f>
        <v>1</v>
      </c>
      <c r="Q93" s="122">
        <f>ROUND(IF(ISERROR(DAVERAGE(_xlnm.Database,FILESTAT!Q$3,bfy1996_)),0,DAVERAGE(_xlnm.Database,FILESTAT!Q$3,bfy1996_)),0)</f>
        <v>0</v>
      </c>
      <c r="R93" s="122">
        <f>ROUND(IF(ISERROR(DAVERAGE(_xlnm.Database,FILESTAT!R$3,bfy1996_)),0,DAVERAGE(_xlnm.Database,FILESTAT!R$3,bfy1996_)),0)</f>
        <v>0</v>
      </c>
      <c r="S93" s="120">
        <f t="shared" si="211"/>
        <v>37</v>
      </c>
      <c r="T93" s="122">
        <f>ROUND(IF(ISERROR(DAVERAGE(_xlnm.Database,FILESTAT!T$3,bfy1996_)),0,DAVERAGE(_xlnm.Database,FILESTAT!T$3,bfy1996_)),0)</f>
        <v>3</v>
      </c>
      <c r="U93" s="122">
        <f>ROUND(IF(ISERROR(DAVERAGE(_xlnm.Database,FILESTAT!U$3,bfy1996_)),0,DAVERAGE(_xlnm.Database,FILESTAT!U$3,bfy1996_)),0)</f>
        <v>0</v>
      </c>
      <c r="V93" s="122"/>
      <c r="W93" s="122">
        <f>ROUND(IF(ISERROR(DAVERAGE(_xlnm.Database,FILESTAT!W$3,bfy1996_)),0,DAVERAGE(_xlnm.Database,FILESTAT!W$3,bfy1996_)),0)</f>
        <v>0</v>
      </c>
      <c r="X93" s="123">
        <f>ROUND(IF(ISERROR(DAVERAGE(_xlnm.Database,FILESTAT!X$3,bfy1996_)),0,DAVERAGE(_xlnm.Database,FILESTAT!X$3,bfy1996_)),0)</f>
        <v>0</v>
      </c>
      <c r="Z93" s="121">
        <f>ROUND(IF(ISERROR(DAVERAGE(_xlnm.Database,FILESTAT!Z$3,bfy1996_)),0,DAVERAGE(_xlnm.Database,FILESTAT!Z$3,bfy1996_)),0)</f>
        <v>1177277</v>
      </c>
      <c r="AA93" s="122">
        <f>ROUND(IF(ISERROR(DAVERAGE(_xlnm.Database,FILESTAT!AA$3,bfy1996_)),0,DAVERAGE(_xlnm.Database,FILESTAT!AA$3,bfy1996_)),0)</f>
        <v>722551</v>
      </c>
      <c r="AB93" s="122"/>
      <c r="AC93" s="121">
        <f>ROUND(IF(ISERROR(DAVERAGE(_xlnm.Database,FILESTAT!AC$3,bfy1996_)),0,DAVERAGE(_xlnm.Database,FILESTAT!AC$3,bfy1996_)),0)</f>
        <v>699426</v>
      </c>
      <c r="AD93" s="122">
        <f>ROUND(IF(ISERROR(DAVERAGE(_xlnm.Database,FILESTAT!AD$3,bfy1996_)),0,DAVERAGE(_xlnm.Database,FILESTAT!AD$3,bfy1996_)),0)</f>
        <v>971048</v>
      </c>
      <c r="AE93" s="120">
        <f t="shared" ref="AE93:AE98" si="215">SUM(AC93:AD93)</f>
        <v>1670474</v>
      </c>
      <c r="AG93" s="121">
        <f>ROUND(IF(ISERROR(DAVERAGE(_xlnm.Database,FILESTAT!AG$3,bfy1996_)),0,DAVERAGE(_xlnm.Database,FILESTAT!AG$3,bfy1996_)),0)</f>
        <v>65</v>
      </c>
      <c r="AH93" s="122">
        <f>ROUND(IF(ISERROR(DAVERAGE(_xlnm.Database,FILESTAT!AH$3,bfy1996_)),0,DAVERAGE(_xlnm.Database,FILESTAT!AH$3,bfy1996_)),0)</f>
        <v>46</v>
      </c>
      <c r="AI93" s="122">
        <f>ROUND(IF(ISERROR(DAVERAGE(_xlnm.Database,FILESTAT!AI$3,bfy1996_)),0,DAVERAGE(_xlnm.Database,FILESTAT!AI$3,bfy1996_)),0)</f>
        <v>129</v>
      </c>
      <c r="AJ93" s="123">
        <f>ROUND(IF(ISERROR(DAVERAGE(_xlnm.Database,FILESTAT!AJ$3,bfy1996_)),0,DAVERAGE(_xlnm.Database,FILESTAT!AJ$3,bfy1996_)),0)</f>
        <v>28</v>
      </c>
      <c r="AL93" s="121">
        <f>ROUND(IF(ISERROR(DAVERAGE(_xlnm.Database,FILESTAT!AL$3,bfy1996_)),0,DAVERAGE(_xlnm.Database,FILESTAT!AL$3,bfy1996_)),0)</f>
        <v>32</v>
      </c>
      <c r="AM93" s="122">
        <f>ROUND(IF(ISERROR(DAVERAGE(_xlnm.Database,FILESTAT!AM$3,bfy1996_)),0,DAVERAGE(_xlnm.Database,FILESTAT!AM$3,bfy1996_)),0)</f>
        <v>144</v>
      </c>
      <c r="AN93" s="120">
        <f t="shared" si="213"/>
        <v>176</v>
      </c>
      <c r="AO93" s="122">
        <f>ROUND(IF(ISERROR(DAVERAGE(_xlnm.Database,FILESTAT!AO$3,bfy1996_)),0,DAVERAGE(_xlnm.Database,FILESTAT!AO$3,bfy1996_)),0)</f>
        <v>175</v>
      </c>
      <c r="AP93" s="122">
        <f>ROUND(IF(ISERROR(DAVERAGE(_xlnm.Database,FILESTAT!AP$3,bfy1996_)),0,DAVERAGE(_xlnm.Database,FILESTAT!AP$3,bfy1996_)),0)</f>
        <v>21</v>
      </c>
      <c r="AQ93" s="120">
        <f t="shared" si="214"/>
        <v>196</v>
      </c>
      <c r="AR93" s="122">
        <f>ROUND(IF(ISERROR(DAVERAGE(_xlnm.Database,FILESTAT!AR$3,bfy1996_)),0,DAVERAGE(_xlnm.Database,FILESTAT!AR$3,bfy1996_)),0)</f>
        <v>0</v>
      </c>
      <c r="AS93" s="122">
        <f>ROUND(IF(ISERROR(DAVERAGE(_xlnm.Database,FILESTAT!AS$3,bfy1996_)),0,DAVERAGE(_xlnm.Database,FILESTAT!AS$3,bfy1996_)),0)</f>
        <v>0</v>
      </c>
      <c r="AT93" s="122">
        <f>ROUND(IF(ISERROR(DAVERAGE(_xlnm.Database,FILESTAT!AT$3,bfy1996_)),0,DAVERAGE(_xlnm.Database,FILESTAT!AT$3,bfy1996_)),0)</f>
        <v>0</v>
      </c>
      <c r="AU93" s="122">
        <f>ROUND(IF(ISERROR(DAVERAGE(_xlnm.Database,FILESTAT!AU$3,bfy1996_)),0,DAVERAGE(_xlnm.Database,FILESTAT!AU$3,bfy1996_)),0)</f>
        <v>0</v>
      </c>
      <c r="AV93" s="123">
        <f>ROUND(IF(ISERROR(DAVERAGE(_xlnm.Database,FILESTAT!AV$3,bfy1996_)),0,DAVERAGE(_xlnm.Database,FILESTAT!AV$3,bfy1996_)),0)</f>
        <v>0</v>
      </c>
      <c r="AW93"/>
      <c r="AX93" s="356"/>
      <c r="AY93"/>
      <c r="BA93" s="121">
        <f>ROUND(IF(ISERROR(DAVERAGE(_xlnm.Database,FILESTAT!BA$3,bfy1996_)),0,DAVERAGE(_xlnm.Database,FILESTAT!BA$3,bfy1996_)),0)</f>
        <v>1614</v>
      </c>
      <c r="BB93" s="122">
        <f>ROUND(IF(ISERROR(DAVERAGE(_xlnm.Database,FILESTAT!BB$3,bfy1996_)),0,DAVERAGE(_xlnm.Database,FILESTAT!BB$3,bfy1996_)),0)</f>
        <v>27254272</v>
      </c>
      <c r="BC93" s="122">
        <f>ROUND(IF(ISERROR(DAVERAGE(_xlnm.Database,FILESTAT!BC$3,bfy1996_)),0,DAVERAGE(_xlnm.Database,FILESTAT!BC$3,bfy1996_)),0)</f>
        <v>19080471</v>
      </c>
      <c r="BD93" s="122"/>
      <c r="BE93" s="122">
        <f>ROUND(IF(ISERROR(DAVERAGE(_xlnm.Database,FILESTAT!BE$3,bfy1996_)),0,DAVERAGE(_xlnm.Database,FILESTAT!BE$3,bfy1996_)),0)</f>
        <v>52</v>
      </c>
      <c r="BF93" s="122">
        <f>ROUND(IF(ISERROR(DAVERAGE(_xlnm.Database,FILESTAT!BF$3,bfy1996_)),0,DAVERAGE(_xlnm.Database,FILESTAT!BF$3,bfy1996_)),0)</f>
        <v>5</v>
      </c>
      <c r="BG93" s="122">
        <f>ROUND(IF(ISERROR(DAVERAGE(_xlnm.Database,FILESTAT!BG$3,bfy1996_)),0,DAVERAGE(_xlnm.Database,FILESTAT!BG$3,bfy1996_)),0)</f>
        <v>2</v>
      </c>
      <c r="BH93" s="122"/>
      <c r="BI93" s="122">
        <f>ROUND(IF(ISERROR(DAVERAGE(_xlnm.Database,FILESTAT!BI$3,bfy1996_)),0,DAVERAGE(_xlnm.Database,FILESTAT!BI$3,bfy1996_)),0)</f>
        <v>1625530</v>
      </c>
      <c r="BJ93" s="122"/>
      <c r="BK93" s="122"/>
      <c r="BL93" s="122"/>
      <c r="BM93" s="123">
        <f>ROUND(IF(ISERROR(DAVERAGE(_xlnm.Database,FILESTAT!BM$3,bfy1996_)),0,DAVERAGE(_xlnm.Database,FILESTAT!BM$3,bfy1996_)),0)</f>
        <v>0</v>
      </c>
      <c r="BO93" s="121">
        <f>ROUND(IF(ISERROR(DAVERAGE(_xlnm.Database,FILESTAT!BO$3,bfy1996_)),0,DAVERAGE(_xlnm.Database,FILESTAT!BO$3,bfy1996_)),0)</f>
        <v>0</v>
      </c>
      <c r="BP93" s="123">
        <f>ROUND(IF(ISERROR(DAVERAGE(_xlnm.Database,FILESTAT!BP$3,bfy1996_)),0,DAVERAGE(_xlnm.Database,FILESTAT!BP$3,bfy1996_)),0)</f>
        <v>149</v>
      </c>
      <c r="BR93" s="250"/>
      <c r="BS93" s="178"/>
      <c r="BT93" s="251"/>
      <c r="BV93" s="121">
        <f>ROUND(IF(ISERROR(DAVERAGE(_xlnm.Database,FILESTAT!BV$3,bfy1996_)),0,DAVERAGE(_xlnm.Database,FILESTAT!BV$3,bfy1996_)),0)</f>
        <v>1</v>
      </c>
      <c r="BW93" s="122">
        <f>ROUND(IF(ISERROR(DAVERAGE(_xlnm.Database,FILESTAT!BW$3,bfy1996_)),0,DAVERAGE(_xlnm.Database,FILESTAT!BW$3,bfy1996_)),0)</f>
        <v>3</v>
      </c>
      <c r="BX93" s="122">
        <f>ROUND(IF(ISERROR(DAVERAGE(_xlnm.Database,FILESTAT!BX$3,bfy1996_)),0,DAVERAGE(_xlnm.Database,FILESTAT!BX$3,bfy1996_)),0)</f>
        <v>0</v>
      </c>
      <c r="BY93" s="122">
        <f>ROUND(IF(ISERROR(DAVERAGE(_xlnm.Database,FILESTAT!BY$3,bfy1996_)),0,DAVERAGE(_xlnm.Database,FILESTAT!BY$3,bfy1996_)),0)</f>
        <v>0</v>
      </c>
      <c r="BZ93" s="122">
        <f>ROUND(IF(ISERROR(DAVERAGE(_xlnm.Database,FILESTAT!BZ$3,bfy1996_)),0,DAVERAGE(_xlnm.Database,FILESTAT!BZ$3,bfy1996_)),0)</f>
        <v>0</v>
      </c>
      <c r="CA93" s="122">
        <f>ROUND(IF(ISERROR(DAVERAGE(_xlnm.Database,FILESTAT!CA$3,bfy1996_)),0,DAVERAGE(_xlnm.Database,FILESTAT!CA$3,bfy1996_)),0)</f>
        <v>0</v>
      </c>
      <c r="CB93" s="122">
        <f>ROUND(IF(ISERROR(DAVERAGE(_xlnm.Database,FILESTAT!CB$3,bfy1996_)),0,DAVERAGE(_xlnm.Database,FILESTAT!CB$3,bfy1996_)),0)</f>
        <v>0</v>
      </c>
      <c r="CC93" s="122"/>
      <c r="CD93" s="122">
        <f>ROUND(IF(ISERROR(DAVERAGE(_xlnm.Database,FILESTAT!CD$3,bfy1996_)),0,DAVERAGE(_xlnm.Database,FILESTAT!CD$3,bfy1996_)),0)</f>
        <v>4</v>
      </c>
      <c r="CE93" s="122">
        <f>ROUND(IF(ISERROR(DAVERAGE(_xlnm.Database,FILESTAT!CE$3,bfy1996_)),0,DAVERAGE(_xlnm.Database,FILESTAT!CE$3,bfy1996_)),0)</f>
        <v>0</v>
      </c>
      <c r="CF93" s="122">
        <f>ROUND(IF(ISERROR(DAVERAGE(_xlnm.Database,FILESTAT!CF$3,bfy1996_)),0,DAVERAGE(_xlnm.Database,FILESTAT!CF$3,bfy1996_)),0)</f>
        <v>1</v>
      </c>
      <c r="CG93" s="122">
        <f>ROUND(IF(ISERROR(DAVERAGE(_xlnm.Database,FILESTAT!CG$3,bfy1996_)),0,DAVERAGE(_xlnm.Database,FILESTAT!CG$3,bfy1996_)),0)</f>
        <v>0</v>
      </c>
      <c r="CH93" s="122">
        <f>ROUND(IF(ISERROR(DAVERAGE(_xlnm.Database,FILESTAT!CH$3,bfy1996_)),0,DAVERAGE(_xlnm.Database,FILESTAT!CH$3,bfy1996_)),0)</f>
        <v>0</v>
      </c>
      <c r="CI93" s="122">
        <f>ROUND(IF(ISERROR(DAVERAGE(_xlnm.Database,FILESTAT!CI$3,bfy1996_)),0,DAVERAGE(_xlnm.Database,FILESTAT!CI$3,bfy1996_)),0)</f>
        <v>1</v>
      </c>
      <c r="CJ93" s="122">
        <f>ROUND(IF(ISERROR(DAVERAGE(_xlnm.Database,FILESTAT!CJ$3,bfy1996_)),0,DAVERAGE(_xlnm.Database,FILESTAT!CJ$3,bfy1996_)),0)</f>
        <v>6</v>
      </c>
      <c r="CK93" s="122"/>
      <c r="CL93" s="122"/>
      <c r="CM93" s="122">
        <f>ROUND(IF(ISERROR(DAVERAGE(_xlnm.Database,FILESTAT!CM$3,bfy1996_)),0,DAVERAGE(_xlnm.Database,FILESTAT!CM$3,bfy1996_)),0)</f>
        <v>0</v>
      </c>
      <c r="CN93" s="122">
        <f>ROUND(IF(ISERROR(DAVERAGE(_xlnm.Database,FILESTAT!CN$3,bfy1996_)),0,DAVERAGE(_xlnm.Database,FILESTAT!CN$3,bfy1996_)),0)</f>
        <v>0</v>
      </c>
      <c r="CO93" s="122">
        <f>ROUND(IF(ISERROR(DAVERAGE(_xlnm.Database,FILESTAT!CO$3,bfy1996_)),0,DAVERAGE(_xlnm.Database,FILESTAT!CO$3,bfy1996_)),0)</f>
        <v>2</v>
      </c>
      <c r="CP93" s="122"/>
      <c r="CQ93" s="122">
        <f>ROUND(IF(ISERROR(DAVERAGE(_xlnm.Database,FILESTAT!CQ$3,bfy1996_)),0,DAVERAGE(_xlnm.Database,FILESTAT!CQ$3,bfy1996_)),0)</f>
        <v>0</v>
      </c>
      <c r="CR93" s="122"/>
      <c r="CS93" s="122">
        <f>ROUND(IF(ISERROR(DAVERAGE(_xlnm.Database,FILESTAT!CS$3,bfy1996_)),0,DAVERAGE(_xlnm.Database,FILESTAT!CS$3,bfy1996_)),0)</f>
        <v>1</v>
      </c>
      <c r="CT93" s="122">
        <f>ROUND(IF(ISERROR(DAVERAGE(_xlnm.Database,FILESTAT!CT$3,bfy1996_)),0,DAVERAGE(_xlnm.Database,FILESTAT!CT$3,bfy1996_)),0)</f>
        <v>7</v>
      </c>
      <c r="CU93" s="122">
        <f>ROUND(IF(ISERROR(DAVERAGE(_xlnm.Database,FILESTAT!CU$3,bfy1996_)),0,DAVERAGE(_xlnm.Database,FILESTAT!CU$3,bfy1996_)),0)</f>
        <v>2</v>
      </c>
      <c r="CV93" s="122">
        <f>ROUND(IF(ISERROR(DAVERAGE(_xlnm.Database,FILESTAT!CV$3,bfy1996_)),0,DAVERAGE(_xlnm.Database,FILESTAT!CV$3,bfy1996_)),0)</f>
        <v>1</v>
      </c>
      <c r="CW93" s="122">
        <f>ROUND(IF(ISERROR(DAVERAGE(_xlnm.Database,FILESTAT!CW$3,bfy1996_)),0,DAVERAGE(_xlnm.Database,FILESTAT!CW$3,bfy1996_)),0)</f>
        <v>0</v>
      </c>
      <c r="CX93" s="122"/>
      <c r="CY93" s="122">
        <f>ROUND(IF(ISERROR(DAVERAGE(_xlnm.Database,FILESTAT!CY$3,bfy1996_)),0,DAVERAGE(_xlnm.Database,FILESTAT!CY$3,bfy1996_)),0)</f>
        <v>0</v>
      </c>
      <c r="CZ93" s="122">
        <f>ROUND(IF(ISERROR(DAVERAGE(_xlnm.Database,FILESTAT!CZ$3,bfy1996_)),0,DAVERAGE(_xlnm.Database,FILESTAT!CZ$3,bfy1996_)),0)</f>
        <v>0</v>
      </c>
      <c r="DA93" s="122">
        <f>ROUND(IF(ISERROR(DAVERAGE(_xlnm.Database,FILESTAT!DA$3,bfy1996_)),0,DAVERAGE(_xlnm.Database,FILESTAT!DA$3,bfy1996_)),0)</f>
        <v>0</v>
      </c>
      <c r="DB93" s="122">
        <f>ROUND(IF(ISERROR(DAVERAGE(_xlnm.Database,FILESTAT!DB$3,bfy1996_)),0,DAVERAGE(_xlnm.Database,FILESTAT!DB$3,bfy1996_)),0)</f>
        <v>2</v>
      </c>
      <c r="DC93" s="122">
        <f>ROUND(IF(ISERROR(DAVERAGE(_xlnm.Database,FILESTAT!DC$3,bfy1996_)),0,DAVERAGE(_xlnm.Database,FILESTAT!DC$3,bfy1996_)),0)</f>
        <v>0</v>
      </c>
      <c r="DD93" s="122">
        <f>ROUND(IF(ISERROR(DAVERAGE(_xlnm.Database,FILESTAT!DD$3,bfy1996_)),0,DAVERAGE(_xlnm.Database,FILESTAT!DD$3,bfy1996_)),0)</f>
        <v>0</v>
      </c>
      <c r="DE93" s="122">
        <f>ROUND(IF(ISERROR(DAVERAGE(_xlnm.Database,FILESTAT!DE$3,bfy1996_)),0,DAVERAGE(_xlnm.Database,FILESTAT!DE$3,bfy1996_)),0)</f>
        <v>0</v>
      </c>
      <c r="DF93" s="122">
        <f>ROUND(IF(ISERROR(DAVERAGE(_xlnm.Database,FILESTAT!DF$3,bfy1996_)),0,DAVERAGE(_xlnm.Database,FILESTAT!DF$3,bfy1996_)),0)</f>
        <v>0</v>
      </c>
      <c r="DG93" s="122">
        <f>ROUND(IF(ISERROR(DAVERAGE(_xlnm.Database,FILESTAT!DG$3,bfy1996_)),0,DAVERAGE(_xlnm.Database,FILESTAT!DG$3,bfy1996_)),0)</f>
        <v>1</v>
      </c>
      <c r="DH93" s="122">
        <f>ROUND(IF(ISERROR(DAVERAGE(_xlnm.Database,FILESTAT!DH$3,bfy1996_)),0,DAVERAGE(_xlnm.Database,FILESTAT!DH$3,bfy1996_)),0)</f>
        <v>0</v>
      </c>
      <c r="DI93" s="122">
        <f>ROUND(IF(ISERROR(DAVERAGE(_xlnm.Database,FILESTAT!DI$3,bfy1996_)),0,DAVERAGE(_xlnm.Database,FILESTAT!DI$3,bfy1996_)),0)</f>
        <v>0</v>
      </c>
      <c r="DJ93" s="122">
        <f>ROUND(IF(ISERROR(DAVERAGE(_xlnm.Database,FILESTAT!DJ$3,bfy1996_)),0,DAVERAGE(_xlnm.Database,FILESTAT!DJ$3,bfy1996_)),0)</f>
        <v>0</v>
      </c>
      <c r="DK93" s="122"/>
      <c r="DL93" s="122">
        <f>ROUND(IF(ISERROR(DAVERAGE(_xlnm.Database,FILESTAT!DL$3,bfy1996_)),0,DAVERAGE(_xlnm.Database,FILESTAT!DL$3,bfy1996_)),0)</f>
        <v>0</v>
      </c>
      <c r="DM93" s="122">
        <f>ROUND(IF(ISERROR(DAVERAGE(_xlnm.Database,FILESTAT!DM$3,bfy1996_)),0,DAVERAGE(_xlnm.Database,FILESTAT!DM$3,bfy1996_)),0)</f>
        <v>3</v>
      </c>
      <c r="DN93" s="122">
        <f>ROUND(IF(ISERROR(DAVERAGE(_xlnm.Database,FILESTAT!DN$3,bfy1996_)),0,DAVERAGE(_xlnm.Database,FILESTAT!DN$3,bfy1996_)),0)</f>
        <v>0</v>
      </c>
      <c r="DO93" s="122">
        <f>ROUND(IF(ISERROR(DAVERAGE(_xlnm.Database,FILESTAT!DO$3,bfy1996_)),0,DAVERAGE(_xlnm.Database,FILESTAT!DO$3,bfy1996_)),0)</f>
        <v>1</v>
      </c>
      <c r="DP93" s="122">
        <f>ROUND(IF(ISERROR(DAVERAGE(_xlnm.Database,FILESTAT!DP$3,bfy1996_)),0,DAVERAGE(_xlnm.Database,FILESTAT!DP$3,bfy1996_)),0)</f>
        <v>0</v>
      </c>
      <c r="DQ93" s="122">
        <f>ROUND(IF(ISERROR(DAVERAGE(_xlnm.Database,FILESTAT!DQ$3,bfy1996_)),0,DAVERAGE(_xlnm.Database,FILESTAT!DQ$3,bfy1996_)),0)</f>
        <v>0</v>
      </c>
      <c r="DR93" s="122"/>
      <c r="DS93" s="122">
        <f>ROUND(IF(ISERROR(DAVERAGE(_xlnm.Database,FILESTAT!DS$3,bfy1996_)),0,DAVERAGE(_xlnm.Database,FILESTAT!DS$3,bfy1996_)),0)</f>
        <v>0</v>
      </c>
      <c r="DT93" s="122">
        <f>ROUND(IF(ISERROR(DAVERAGE(_xlnm.Database,FILESTAT!DT$3,bfy1996_)),0,DAVERAGE(_xlnm.Database,FILESTAT!DT$3,bfy1996_)),0)</f>
        <v>4</v>
      </c>
      <c r="DU93" s="122">
        <f>ROUND(IF(ISERROR(DAVERAGE(_xlnm.Database,FILESTAT!DU$3,bfy1996_)),0,DAVERAGE(_xlnm.Database,FILESTAT!DU$3,bfy1996_)),0)</f>
        <v>0</v>
      </c>
      <c r="DV93" s="127">
        <f t="shared" si="212"/>
        <v>40</v>
      </c>
      <c r="DW93" s="128"/>
    </row>
    <row r="94" spans="1:129" s="111" customFormat="1">
      <c r="A94" s="228">
        <v>1997</v>
      </c>
      <c r="B94" s="24"/>
      <c r="C94" s="121">
        <f>ROUND(IF(ISERROR(DAVERAGE(_xlnm.Database,FILESTAT!C$3,bfy1997_)),0,DAVERAGE(_xlnm.Database,FILESTAT!C$3,bfy1997_)),0)</f>
        <v>3</v>
      </c>
      <c r="D94" s="122">
        <f>ROUND(IF(ISERROR(DAVERAGE(_xlnm.Database,FILESTAT!D$3,bfy1997_)),0,DAVERAGE(_xlnm.Database,FILESTAT!D$3,bfy1997_)),0)</f>
        <v>20</v>
      </c>
      <c r="E94" s="122">
        <f>ROUND(IF(ISERROR(DAVERAGE(_xlnm.Database,FILESTAT!E$3,bfy1997_)),0,DAVERAGE(_xlnm.Database,FILESTAT!E$3,bfy1997_)),0)</f>
        <v>3</v>
      </c>
      <c r="F94" s="122">
        <f>ROUND(IF(ISERROR(DAVERAGE(_xlnm.Database,FILESTAT!F$3,bfy1997_)),0,DAVERAGE(_xlnm.Database,FILESTAT!F$3,bfy1997_)),0)</f>
        <v>0</v>
      </c>
      <c r="G94" s="122">
        <f>ROUND(IF(ISERROR(DAVERAGE(_xlnm.Database,FILESTAT!G$3,bfy1997_)),0,DAVERAGE(_xlnm.Database,FILESTAT!G$3,bfy1997_)),0)</f>
        <v>2</v>
      </c>
      <c r="H94" s="122">
        <f>ROUND(IF(ISERROR(DAVERAGE(_xlnm.Database,FILESTAT!H$3,bfy1997_)),0,DAVERAGE(_xlnm.Database,FILESTAT!H$3,bfy1997_)),0)</f>
        <v>1</v>
      </c>
      <c r="I94" s="122">
        <f>ROUND(IF(ISERROR(DAVERAGE(_xlnm.Database,FILESTAT!I$3,bfy1997_)),0,DAVERAGE(_xlnm.Database,FILESTAT!I$3,bfy1997_)),0)</f>
        <v>0</v>
      </c>
      <c r="J94" s="122">
        <f>ROUND(IF(ISERROR(DAVERAGE(_xlnm.Database,FILESTAT!J$3,bfy1997_)),0,DAVERAGE(_xlnm.Database,FILESTAT!J$3,bfy1997_)),0)</f>
        <v>17</v>
      </c>
      <c r="K94" s="122">
        <f>ROUND(IF(ISERROR(DAVERAGE(_xlnm.Database,FILESTAT!K$3,bfy1997_)),0,DAVERAGE(_xlnm.Database,FILESTAT!K$3,bfy1997_)),0)</f>
        <v>0</v>
      </c>
      <c r="L94" s="122">
        <f>ROUND(IF(ISERROR(DAVERAGE(_xlnm.Database,FILESTAT!L$3,bfy1997_)),0,DAVERAGE(_xlnm.Database,FILESTAT!L$3,bfy1997_)),0)</f>
        <v>0</v>
      </c>
      <c r="M94" s="122">
        <f>ROUND(IF(ISERROR(DAVERAGE(_xlnm.Database,FILESTAT!M$3,bfy1997_)),0,DAVERAGE(_xlnm.Database,FILESTAT!M$3,bfy1997_)),0)</f>
        <v>0</v>
      </c>
      <c r="N94" s="122">
        <f>ROUND(IF(ISERROR(DAVERAGE(_xlnm.Database,FILESTAT!N$3,bfy1997_)),0,DAVERAGE(_xlnm.Database,FILESTAT!N$3,bfy1997_)),0)</f>
        <v>0</v>
      </c>
      <c r="O94" s="122">
        <f>ROUND(IF(ISERROR(DAVERAGE(_xlnm.Database,FILESTAT!O$3,bfy1997_)),0,DAVERAGE(_xlnm.Database,FILESTAT!O$3,bfy1997_)),0)</f>
        <v>15</v>
      </c>
      <c r="P94" s="122">
        <f>ROUND(IF(ISERROR(DAVERAGE(_xlnm.Database,FILESTAT!P$3,bfy1997_)),0,DAVERAGE(_xlnm.Database,FILESTAT!P$3,bfy1997_)),0)</f>
        <v>1</v>
      </c>
      <c r="Q94" s="122">
        <f>ROUND(IF(ISERROR(DAVERAGE(_xlnm.Database,FILESTAT!Q$3,bfy1997_)),0,DAVERAGE(_xlnm.Database,FILESTAT!Q$3,bfy1997_)),0)</f>
        <v>0</v>
      </c>
      <c r="R94" s="122">
        <f>ROUND(IF(ISERROR(DAVERAGE(_xlnm.Database,FILESTAT!R$3,bfy1997_)),0,DAVERAGE(_xlnm.Database,FILESTAT!R$3,bfy1997_)),0)</f>
        <v>0</v>
      </c>
      <c r="S94" s="120">
        <f t="shared" si="211"/>
        <v>62</v>
      </c>
      <c r="T94" s="122">
        <f>ROUND(IF(ISERROR(DAVERAGE(_xlnm.Database,FILESTAT!T$3,bfy1997_)),0,DAVERAGE(_xlnm.Database,FILESTAT!T$3,bfy1997_)),0)</f>
        <v>5</v>
      </c>
      <c r="U94" s="122">
        <f>ROUND(IF(ISERROR(DAVERAGE(_xlnm.Database,FILESTAT!U$3,bfy1997_)),0,DAVERAGE(_xlnm.Database,FILESTAT!U$3,bfy1997_)),0)</f>
        <v>0</v>
      </c>
      <c r="V94" s="122"/>
      <c r="W94" s="122">
        <f>ROUND(IF(ISERROR(DAVERAGE(_xlnm.Database,FILESTAT!W$3,bfy1997_)),0,DAVERAGE(_xlnm.Database,FILESTAT!W$3,bfy1997_)),0)</f>
        <v>1</v>
      </c>
      <c r="X94" s="123">
        <f>ROUND(IF(ISERROR(DAVERAGE(_xlnm.Database,FILESTAT!X$3,bfy1997_)),0,DAVERAGE(_xlnm.Database,FILESTAT!X$3,bfy1997_)),0)</f>
        <v>1</v>
      </c>
      <c r="Z94" s="121">
        <f>ROUND(IF(ISERROR(DAVERAGE(_xlnm.Database,FILESTAT!Z$3,bfy1997_)),0,DAVERAGE(_xlnm.Database,FILESTAT!Z$3,bfy1997_)),0)</f>
        <v>1282091</v>
      </c>
      <c r="AA94" s="122">
        <f>ROUND(IF(ISERROR(DAVERAGE(_xlnm.Database,FILESTAT!AA$3,bfy1997_)),0,DAVERAGE(_xlnm.Database,FILESTAT!AA$3,bfy1997_)),0)</f>
        <v>1120082</v>
      </c>
      <c r="AB94" s="122"/>
      <c r="AC94" s="121">
        <f>ROUND(IF(ISERROR(DAVERAGE(_xlnm.Database,FILESTAT!AC$3,bfy1997_)),0,DAVERAGE(_xlnm.Database,FILESTAT!AC$3,bfy1997_)),0)</f>
        <v>791014</v>
      </c>
      <c r="AD94" s="122">
        <f>ROUND(IF(ISERROR(DAVERAGE(_xlnm.Database,FILESTAT!AD$3,bfy1997_)),0,DAVERAGE(_xlnm.Database,FILESTAT!AD$3,bfy1997_)),0)</f>
        <v>1467514</v>
      </c>
      <c r="AE94" s="120">
        <f t="shared" si="215"/>
        <v>2258528</v>
      </c>
      <c r="AG94" s="121">
        <f>ROUND(IF(ISERROR(DAVERAGE(_xlnm.Database,FILESTAT!AG$3,bfy1997_)),0,DAVERAGE(_xlnm.Database,FILESTAT!AG$3,bfy1997_)),0)</f>
        <v>89</v>
      </c>
      <c r="AH94" s="122">
        <f>ROUND(IF(ISERROR(DAVERAGE(_xlnm.Database,FILESTAT!AH$3,bfy1997_)),0,DAVERAGE(_xlnm.Database,FILESTAT!AH$3,bfy1997_)),0)</f>
        <v>38</v>
      </c>
      <c r="AI94" s="122">
        <f>ROUND(IF(ISERROR(DAVERAGE(_xlnm.Database,FILESTAT!AI$3,bfy1997_)),0,DAVERAGE(_xlnm.Database,FILESTAT!AI$3,bfy1997_)),0)</f>
        <v>144</v>
      </c>
      <c r="AJ94" s="123">
        <f>ROUND(IF(ISERROR(DAVERAGE(_xlnm.Database,FILESTAT!AJ$3,bfy1997_)),0,DAVERAGE(_xlnm.Database,FILESTAT!AJ$3,bfy1997_)),0)</f>
        <v>45</v>
      </c>
      <c r="AL94" s="121">
        <f>ROUND(IF(ISERROR(DAVERAGE(_xlnm.Database,FILESTAT!AL$3,bfy1997_)),0,DAVERAGE(_xlnm.Database,FILESTAT!AL$3,bfy1997_)),0)</f>
        <v>32</v>
      </c>
      <c r="AM94" s="122">
        <f>ROUND(IF(ISERROR(DAVERAGE(_xlnm.Database,FILESTAT!AM$3,bfy1997_)),0,DAVERAGE(_xlnm.Database,FILESTAT!AM$3,bfy1997_)),0)</f>
        <v>125</v>
      </c>
      <c r="AN94" s="120">
        <f t="shared" si="213"/>
        <v>157</v>
      </c>
      <c r="AO94" s="122">
        <f>ROUND(IF(ISERROR(DAVERAGE(_xlnm.Database,FILESTAT!AO$3,bfy1997_)),0,DAVERAGE(_xlnm.Database,FILESTAT!AO$3,bfy1997_)),0)</f>
        <v>168</v>
      </c>
      <c r="AP94" s="122">
        <f>ROUND(IF(ISERROR(DAVERAGE(_xlnm.Database,FILESTAT!AP$3,bfy1997_)),0,DAVERAGE(_xlnm.Database,FILESTAT!AP$3,bfy1997_)),0)</f>
        <v>19</v>
      </c>
      <c r="AQ94" s="120">
        <f t="shared" si="214"/>
        <v>187</v>
      </c>
      <c r="AR94" s="122">
        <f>ROUND(IF(ISERROR(DAVERAGE(_xlnm.Database,FILESTAT!AR$3,bfy1997_)),0,DAVERAGE(_xlnm.Database,FILESTAT!AR$3,bfy1997_)),0)</f>
        <v>0</v>
      </c>
      <c r="AS94" s="122">
        <f>ROUND(IF(ISERROR(DAVERAGE(_xlnm.Database,FILESTAT!AS$3,bfy1997_)),0,DAVERAGE(_xlnm.Database,FILESTAT!AS$3,bfy1997_)),0)</f>
        <v>0</v>
      </c>
      <c r="AT94" s="122">
        <f>ROUND(IF(ISERROR(DAVERAGE(_xlnm.Database,FILESTAT!AT$3,bfy1997_)),0,DAVERAGE(_xlnm.Database,FILESTAT!AT$3,bfy1997_)),0)</f>
        <v>0</v>
      </c>
      <c r="AU94" s="122">
        <f>ROUND(IF(ISERROR(DAVERAGE(_xlnm.Database,FILESTAT!AU$3,bfy1997_)),0,DAVERAGE(_xlnm.Database,FILESTAT!AU$3,bfy1997_)),0)</f>
        <v>0</v>
      </c>
      <c r="AV94" s="123">
        <f>ROUND(IF(ISERROR(DAVERAGE(_xlnm.Database,FILESTAT!AV$3,bfy1997_)),0,DAVERAGE(_xlnm.Database,FILESTAT!AV$3,bfy1997_)),0)</f>
        <v>0</v>
      </c>
      <c r="AW94"/>
      <c r="AX94" s="356"/>
      <c r="AY94"/>
      <c r="BA94" s="121">
        <f>ROUND(IF(ISERROR(DAVERAGE(_xlnm.Database,FILESTAT!BA$3,bfy1997_)),0,DAVERAGE(_xlnm.Database,FILESTAT!BA$3,bfy1997_)),0)</f>
        <v>1625</v>
      </c>
      <c r="BB94" s="122">
        <f>ROUND(IF(ISERROR(DAVERAGE(_xlnm.Database,FILESTAT!BB$3,bfy1997_)),0,DAVERAGE(_xlnm.Database,FILESTAT!BB$3,bfy1997_)),0)</f>
        <v>27240684</v>
      </c>
      <c r="BC94" s="122">
        <f>ROUND(IF(ISERROR(DAVERAGE(_xlnm.Database,FILESTAT!BC$3,bfy1997_)),0,DAVERAGE(_xlnm.Database,FILESTAT!BC$3,bfy1997_)),0)</f>
        <v>19264853</v>
      </c>
      <c r="BD94" s="122"/>
      <c r="BE94" s="122">
        <f>ROUND(IF(ISERROR(DAVERAGE(_xlnm.Database,FILESTAT!BE$3,bfy1997_)),0,DAVERAGE(_xlnm.Database,FILESTAT!BE$3,bfy1997_)),0)</f>
        <v>78</v>
      </c>
      <c r="BF94" s="122">
        <f>ROUND(IF(ISERROR(DAVERAGE(_xlnm.Database,FILESTAT!BF$3,bfy1997_)),0,DAVERAGE(_xlnm.Database,FILESTAT!BF$3,bfy1997_)),0)</f>
        <v>4</v>
      </c>
      <c r="BG94" s="122">
        <f>ROUND(IF(ISERROR(DAVERAGE(_xlnm.Database,FILESTAT!BG$3,bfy1997_)),0,DAVERAGE(_xlnm.Database,FILESTAT!BG$3,bfy1997_)),0)</f>
        <v>5</v>
      </c>
      <c r="BH94" s="122"/>
      <c r="BI94" s="122">
        <f>ROUND(IF(ISERROR(DAVERAGE(_xlnm.Database,FILESTAT!BI$3,bfy1997_)),0,DAVERAGE(_xlnm.Database,FILESTAT!BI$3,bfy1997_)),0)</f>
        <v>2082258</v>
      </c>
      <c r="BJ94" s="122"/>
      <c r="BK94" s="122"/>
      <c r="BL94" s="122"/>
      <c r="BM94" s="123">
        <f>ROUND(IF(ISERROR(DAVERAGE(_xlnm.Database,FILESTAT!BM$3,bfy1997_)),0,DAVERAGE(_xlnm.Database,FILESTAT!BM$3,bfy1997_)),0)</f>
        <v>0</v>
      </c>
      <c r="BO94" s="121">
        <f>ROUND(IF(ISERROR(DAVERAGE(_xlnm.Database,FILESTAT!BO$3,bfy1997_)),0,DAVERAGE(_xlnm.Database,FILESTAT!BO$3,bfy1997_)),0)</f>
        <v>0</v>
      </c>
      <c r="BP94" s="123">
        <f>ROUND(IF(ISERROR(DAVERAGE(_xlnm.Database,FILESTAT!BP$3,bfy1997_)),0,DAVERAGE(_xlnm.Database,FILESTAT!BP$3,bfy1997_)),0)</f>
        <v>149</v>
      </c>
      <c r="BR94" s="250"/>
      <c r="BS94" s="178"/>
      <c r="BT94" s="251"/>
      <c r="BV94" s="121">
        <f>ROUND(IF(ISERROR(DAVERAGE(_xlnm.Database,FILESTAT!BV$3,bfy1997_)),0,DAVERAGE(_xlnm.Database,FILESTAT!BV$3,bfy1997_)),0)</f>
        <v>0</v>
      </c>
      <c r="BW94" s="122">
        <f>ROUND(IF(ISERROR(DAVERAGE(_xlnm.Database,FILESTAT!BW$3,bfy1997_)),0,DAVERAGE(_xlnm.Database,FILESTAT!BW$3,bfy1997_)),0)</f>
        <v>0</v>
      </c>
      <c r="BX94" s="122">
        <f>ROUND(IF(ISERROR(DAVERAGE(_xlnm.Database,FILESTAT!BX$3,bfy1997_)),0,DAVERAGE(_xlnm.Database,FILESTAT!BX$3,bfy1997_)),0)</f>
        <v>0</v>
      </c>
      <c r="BY94" s="122">
        <f>ROUND(IF(ISERROR(DAVERAGE(_xlnm.Database,FILESTAT!BY$3,bfy1997_)),0,DAVERAGE(_xlnm.Database,FILESTAT!BY$3,bfy1997_)),0)</f>
        <v>0</v>
      </c>
      <c r="BZ94" s="122">
        <f>ROUND(IF(ISERROR(DAVERAGE(_xlnm.Database,FILESTAT!BZ$3,bfy1997_)),0,DAVERAGE(_xlnm.Database,FILESTAT!BZ$3,bfy1997_)),0)</f>
        <v>0</v>
      </c>
      <c r="CA94" s="122">
        <f>ROUND(IF(ISERROR(DAVERAGE(_xlnm.Database,FILESTAT!CA$3,bfy1997_)),0,DAVERAGE(_xlnm.Database,FILESTAT!CA$3,bfy1997_)),0)</f>
        <v>0</v>
      </c>
      <c r="CB94" s="122">
        <f>ROUND(IF(ISERROR(DAVERAGE(_xlnm.Database,FILESTAT!CB$3,bfy1997_)),0,DAVERAGE(_xlnm.Database,FILESTAT!CB$3,bfy1997_)),0)</f>
        <v>0</v>
      </c>
      <c r="CC94" s="122"/>
      <c r="CD94" s="122">
        <f>ROUND(IF(ISERROR(DAVERAGE(_xlnm.Database,FILESTAT!CD$3,bfy1997_)),0,DAVERAGE(_xlnm.Database,FILESTAT!CD$3,bfy1997_)),0)</f>
        <v>0</v>
      </c>
      <c r="CE94" s="122">
        <f>ROUND(IF(ISERROR(DAVERAGE(_xlnm.Database,FILESTAT!CE$3,bfy1997_)),0,DAVERAGE(_xlnm.Database,FILESTAT!CE$3,bfy1997_)),0)</f>
        <v>0</v>
      </c>
      <c r="CF94" s="122">
        <f>ROUND(IF(ISERROR(DAVERAGE(_xlnm.Database,FILESTAT!CF$3,bfy1997_)),0,DAVERAGE(_xlnm.Database,FILESTAT!CF$3,bfy1997_)),0)</f>
        <v>0</v>
      </c>
      <c r="CG94" s="122">
        <f>ROUND(IF(ISERROR(DAVERAGE(_xlnm.Database,FILESTAT!CG$3,bfy1997_)),0,DAVERAGE(_xlnm.Database,FILESTAT!CG$3,bfy1997_)),0)</f>
        <v>0</v>
      </c>
      <c r="CH94" s="122">
        <f>ROUND(IF(ISERROR(DAVERAGE(_xlnm.Database,FILESTAT!CH$3,bfy1997_)),0,DAVERAGE(_xlnm.Database,FILESTAT!CH$3,bfy1997_)),0)</f>
        <v>0</v>
      </c>
      <c r="CI94" s="122">
        <f>ROUND(IF(ISERROR(DAVERAGE(_xlnm.Database,FILESTAT!CI$3,bfy1997_)),0,DAVERAGE(_xlnm.Database,FILESTAT!CI$3,bfy1997_)),0)</f>
        <v>0</v>
      </c>
      <c r="CJ94" s="122">
        <f>ROUND(IF(ISERROR(DAVERAGE(_xlnm.Database,FILESTAT!CJ$3,bfy1997_)),0,DAVERAGE(_xlnm.Database,FILESTAT!CJ$3,bfy1997_)),0)</f>
        <v>0</v>
      </c>
      <c r="CK94" s="122"/>
      <c r="CL94" s="122"/>
      <c r="CM94" s="122">
        <f>ROUND(IF(ISERROR(DAVERAGE(_xlnm.Database,FILESTAT!CM$3,bfy1997_)),0,DAVERAGE(_xlnm.Database,FILESTAT!CM$3,bfy1997_)),0)</f>
        <v>0</v>
      </c>
      <c r="CN94" s="122">
        <f>ROUND(IF(ISERROR(DAVERAGE(_xlnm.Database,FILESTAT!CN$3,bfy1997_)),0,DAVERAGE(_xlnm.Database,FILESTAT!CN$3,bfy1997_)),0)</f>
        <v>0</v>
      </c>
      <c r="CO94" s="122">
        <f>ROUND(IF(ISERROR(DAVERAGE(_xlnm.Database,FILESTAT!CO$3,bfy1997_)),0,DAVERAGE(_xlnm.Database,FILESTAT!CO$3,bfy1997_)),0)</f>
        <v>0</v>
      </c>
      <c r="CP94" s="122"/>
      <c r="CQ94" s="122">
        <f>ROUND(IF(ISERROR(DAVERAGE(_xlnm.Database,FILESTAT!CQ$3,bfy1997_)),0,DAVERAGE(_xlnm.Database,FILESTAT!CQ$3,bfy1997_)),0)</f>
        <v>0</v>
      </c>
      <c r="CR94" s="122"/>
      <c r="CS94" s="122">
        <f>ROUND(IF(ISERROR(DAVERAGE(_xlnm.Database,FILESTAT!CS$3,bfy1997_)),0,DAVERAGE(_xlnm.Database,FILESTAT!CS$3,bfy1997_)),0)</f>
        <v>0</v>
      </c>
      <c r="CT94" s="122">
        <f>ROUND(IF(ISERROR(DAVERAGE(_xlnm.Database,FILESTAT!CT$3,bfy1997_)),0,DAVERAGE(_xlnm.Database,FILESTAT!CT$3,bfy1997_)),0)</f>
        <v>0</v>
      </c>
      <c r="CU94" s="122">
        <f>ROUND(IF(ISERROR(DAVERAGE(_xlnm.Database,FILESTAT!CU$3,bfy1997_)),0,DAVERAGE(_xlnm.Database,FILESTAT!CU$3,bfy1997_)),0)</f>
        <v>0</v>
      </c>
      <c r="CV94" s="122">
        <f>ROUND(IF(ISERROR(DAVERAGE(_xlnm.Database,FILESTAT!CV$3,bfy1997_)),0,DAVERAGE(_xlnm.Database,FILESTAT!CV$3,bfy1997_)),0)</f>
        <v>0</v>
      </c>
      <c r="CW94" s="122">
        <f>ROUND(IF(ISERROR(DAVERAGE(_xlnm.Database,FILESTAT!CW$3,bfy1997_)),0,DAVERAGE(_xlnm.Database,FILESTAT!CW$3,bfy1997_)),0)</f>
        <v>0</v>
      </c>
      <c r="CX94" s="122"/>
      <c r="CY94" s="122">
        <f>ROUND(IF(ISERROR(DAVERAGE(_xlnm.Database,FILESTAT!CY$3,bfy1997_)),0,DAVERAGE(_xlnm.Database,FILESTAT!CY$3,bfy1997_)),0)</f>
        <v>0</v>
      </c>
      <c r="CZ94" s="122">
        <f>ROUND(IF(ISERROR(DAVERAGE(_xlnm.Database,FILESTAT!CZ$3,bfy1997_)),0,DAVERAGE(_xlnm.Database,FILESTAT!CZ$3,bfy1997_)),0)</f>
        <v>0</v>
      </c>
      <c r="DA94" s="122">
        <f>ROUND(IF(ISERROR(DAVERAGE(_xlnm.Database,FILESTAT!DA$3,bfy1997_)),0,DAVERAGE(_xlnm.Database,FILESTAT!DA$3,bfy1997_)),0)</f>
        <v>0</v>
      </c>
      <c r="DB94" s="122">
        <f>ROUND(IF(ISERROR(DAVERAGE(_xlnm.Database,FILESTAT!DB$3,bfy1997_)),0,DAVERAGE(_xlnm.Database,FILESTAT!DB$3,bfy1997_)),0)</f>
        <v>0</v>
      </c>
      <c r="DC94" s="122">
        <f>ROUND(IF(ISERROR(DAVERAGE(_xlnm.Database,FILESTAT!DC$3,bfy1997_)),0,DAVERAGE(_xlnm.Database,FILESTAT!DC$3,bfy1997_)),0)</f>
        <v>0</v>
      </c>
      <c r="DD94" s="122">
        <f>ROUND(IF(ISERROR(DAVERAGE(_xlnm.Database,FILESTAT!DD$3,bfy1997_)),0,DAVERAGE(_xlnm.Database,FILESTAT!DD$3,bfy1997_)),0)</f>
        <v>0</v>
      </c>
      <c r="DE94" s="122">
        <f>ROUND(IF(ISERROR(DAVERAGE(_xlnm.Database,FILESTAT!DE$3,bfy1997_)),0,DAVERAGE(_xlnm.Database,FILESTAT!DE$3,bfy1997_)),0)</f>
        <v>0</v>
      </c>
      <c r="DF94" s="122">
        <f>ROUND(IF(ISERROR(DAVERAGE(_xlnm.Database,FILESTAT!DF$3,bfy1997_)),0,DAVERAGE(_xlnm.Database,FILESTAT!DF$3,bfy1997_)),0)</f>
        <v>0</v>
      </c>
      <c r="DG94" s="122">
        <f>ROUND(IF(ISERROR(DAVERAGE(_xlnm.Database,FILESTAT!DG$3,bfy1997_)),0,DAVERAGE(_xlnm.Database,FILESTAT!DG$3,bfy1997_)),0)</f>
        <v>0</v>
      </c>
      <c r="DH94" s="122">
        <f>ROUND(IF(ISERROR(DAVERAGE(_xlnm.Database,FILESTAT!DH$3,bfy1997_)),0,DAVERAGE(_xlnm.Database,FILESTAT!DH$3,bfy1997_)),0)</f>
        <v>0</v>
      </c>
      <c r="DI94" s="122">
        <f>ROUND(IF(ISERROR(DAVERAGE(_xlnm.Database,FILESTAT!DI$3,bfy1997_)),0,DAVERAGE(_xlnm.Database,FILESTAT!DI$3,bfy1997_)),0)</f>
        <v>0</v>
      </c>
      <c r="DJ94" s="122">
        <f>ROUND(IF(ISERROR(DAVERAGE(_xlnm.Database,FILESTAT!DJ$3,bfy1997_)),0,DAVERAGE(_xlnm.Database,FILESTAT!DJ$3,bfy1997_)),0)</f>
        <v>0</v>
      </c>
      <c r="DK94" s="122"/>
      <c r="DL94" s="122">
        <f>ROUND(IF(ISERROR(DAVERAGE(_xlnm.Database,FILESTAT!DL$3,bfy1997_)),0,DAVERAGE(_xlnm.Database,FILESTAT!DL$3,bfy1997_)),0)</f>
        <v>0</v>
      </c>
      <c r="DM94" s="122">
        <f>ROUND(IF(ISERROR(DAVERAGE(_xlnm.Database,FILESTAT!DM$3,bfy1997_)),0,DAVERAGE(_xlnm.Database,FILESTAT!DM$3,bfy1997_)),0)</f>
        <v>0</v>
      </c>
      <c r="DN94" s="122">
        <f>ROUND(IF(ISERROR(DAVERAGE(_xlnm.Database,FILESTAT!DN$3,bfy1997_)),0,DAVERAGE(_xlnm.Database,FILESTAT!DN$3,bfy1997_)),0)</f>
        <v>0</v>
      </c>
      <c r="DO94" s="122">
        <f>ROUND(IF(ISERROR(DAVERAGE(_xlnm.Database,FILESTAT!DO$3,bfy1997_)),0,DAVERAGE(_xlnm.Database,FILESTAT!DO$3,bfy1997_)),0)</f>
        <v>0</v>
      </c>
      <c r="DP94" s="122">
        <f>ROUND(IF(ISERROR(DAVERAGE(_xlnm.Database,FILESTAT!DP$3,bfy1997_)),0,DAVERAGE(_xlnm.Database,FILESTAT!DP$3,bfy1997_)),0)</f>
        <v>0</v>
      </c>
      <c r="DQ94" s="122">
        <f>ROUND(IF(ISERROR(DAVERAGE(_xlnm.Database,FILESTAT!DQ$3,bfy1997_)),0,DAVERAGE(_xlnm.Database,FILESTAT!DQ$3,bfy1997_)),0)</f>
        <v>0</v>
      </c>
      <c r="DR94" s="122"/>
      <c r="DS94" s="122">
        <f>ROUND(IF(ISERROR(DAVERAGE(_xlnm.Database,FILESTAT!DS$3,bfy1997_)),0,DAVERAGE(_xlnm.Database,FILESTAT!DS$3,bfy1997_)),0)</f>
        <v>0</v>
      </c>
      <c r="DT94" s="122">
        <f>ROUND(IF(ISERROR(DAVERAGE(_xlnm.Database,FILESTAT!DT$3,bfy1997_)),0,DAVERAGE(_xlnm.Database,FILESTAT!DT$3,bfy1997_)),0)</f>
        <v>0</v>
      </c>
      <c r="DU94" s="122">
        <f>ROUND(IF(ISERROR(DAVERAGE(_xlnm.Database,FILESTAT!DU$3,bfy1997_)),0,DAVERAGE(_xlnm.Database,FILESTAT!DU$3,bfy1997_)),0)</f>
        <v>0</v>
      </c>
      <c r="DV94" s="127">
        <f t="shared" si="212"/>
        <v>0</v>
      </c>
      <c r="DW94" s="128"/>
    </row>
    <row r="95" spans="1:129" s="111" customFormat="1">
      <c r="A95" s="228">
        <v>1998</v>
      </c>
      <c r="B95" s="24"/>
      <c r="C95" s="121">
        <f>ROUND(IF(ISERROR(DAVERAGE(_xlnm.Database,FILESTAT!C$3,bfy1998_)),0,DAVERAGE(_xlnm.Database,FILESTAT!C$3,bfy1998_)),0)</f>
        <v>5</v>
      </c>
      <c r="D95" s="122">
        <f>ROUND(IF(ISERROR(DAVERAGE(_xlnm.Database,FILESTAT!D$3,bfy1998_)),0,DAVERAGE(_xlnm.Database,FILESTAT!D$3,bfy1998_)),0)</f>
        <v>21</v>
      </c>
      <c r="E95" s="122">
        <f>ROUND(IF(ISERROR(DAVERAGE(_xlnm.Database,FILESTAT!E$3,bfy1998_)),0,DAVERAGE(_xlnm.Database,FILESTAT!E$3,bfy1998_)),0)</f>
        <v>3</v>
      </c>
      <c r="F95" s="122">
        <f>ROUND(IF(ISERROR(DAVERAGE(_xlnm.Database,FILESTAT!F$3,bfy1998_)),0,DAVERAGE(_xlnm.Database,FILESTAT!F$3,bfy1998_)),0)</f>
        <v>1</v>
      </c>
      <c r="G95" s="122">
        <f>ROUND(IF(ISERROR(DAVERAGE(_xlnm.Database,FILESTAT!G$3,bfy1998_)),0,DAVERAGE(_xlnm.Database,FILESTAT!G$3,bfy1998_)),0)</f>
        <v>2</v>
      </c>
      <c r="H95" s="122">
        <f>ROUND(IF(ISERROR(DAVERAGE(_xlnm.Database,FILESTAT!H$3,bfy1998_)),0,DAVERAGE(_xlnm.Database,FILESTAT!H$3,bfy1998_)),0)</f>
        <v>2</v>
      </c>
      <c r="I95" s="122">
        <f>ROUND(IF(ISERROR(DAVERAGE(_xlnm.Database,FILESTAT!I$3,bfy1998_)),0,DAVERAGE(_xlnm.Database,FILESTAT!I$3,bfy1998_)),0)</f>
        <v>0</v>
      </c>
      <c r="J95" s="122">
        <f>ROUND(IF(ISERROR(DAVERAGE(_xlnm.Database,FILESTAT!J$3,bfy1998_)),0,DAVERAGE(_xlnm.Database,FILESTAT!J$3,bfy1998_)),0)</f>
        <v>28</v>
      </c>
      <c r="K95" s="122">
        <f>ROUND(IF(ISERROR(DAVERAGE(_xlnm.Database,FILESTAT!K$3,bfy1998_)),0,DAVERAGE(_xlnm.Database,FILESTAT!K$3,bfy1998_)),0)</f>
        <v>1</v>
      </c>
      <c r="L95" s="122">
        <f>ROUND(IF(ISERROR(DAVERAGE(_xlnm.Database,FILESTAT!L$3,bfy1998_)),0,DAVERAGE(_xlnm.Database,FILESTAT!L$3,bfy1998_)),0)</f>
        <v>1</v>
      </c>
      <c r="M95" s="122">
        <f>ROUND(IF(ISERROR(DAVERAGE(_xlnm.Database,FILESTAT!M$3,bfy1998_)),0,DAVERAGE(_xlnm.Database,FILESTAT!M$3,bfy1998_)),0)</f>
        <v>0</v>
      </c>
      <c r="N95" s="122">
        <f>ROUND(IF(ISERROR(DAVERAGE(_xlnm.Database,FILESTAT!N$3,bfy1998_)),0,DAVERAGE(_xlnm.Database,FILESTAT!N$3,bfy1998_)),0)</f>
        <v>0</v>
      </c>
      <c r="O95" s="122">
        <f>ROUND(IF(ISERROR(DAVERAGE(_xlnm.Database,FILESTAT!O$3,bfy1998_)),0,DAVERAGE(_xlnm.Database,FILESTAT!O$3,bfy1998_)),0)</f>
        <v>15</v>
      </c>
      <c r="P95" s="122">
        <f>ROUND(IF(ISERROR(DAVERAGE(_xlnm.Database,FILESTAT!P$3,bfy1998_)),0,DAVERAGE(_xlnm.Database,FILESTAT!P$3,bfy1998_)),0)</f>
        <v>1</v>
      </c>
      <c r="Q95" s="122">
        <f>ROUND(IF(ISERROR(DAVERAGE(_xlnm.Database,FILESTAT!Q$3,bfy1998_)),0,DAVERAGE(_xlnm.Database,FILESTAT!Q$3,bfy1998_)),0)</f>
        <v>0</v>
      </c>
      <c r="R95" s="122">
        <f>ROUND(IF(ISERROR(DAVERAGE(_xlnm.Database,FILESTAT!R$3,bfy1998_)),0,DAVERAGE(_xlnm.Database,FILESTAT!R$3,bfy1998_)),0)</f>
        <v>0</v>
      </c>
      <c r="S95" s="120">
        <f t="shared" si="211"/>
        <v>80</v>
      </c>
      <c r="T95" s="122">
        <f>ROUND(IF(ISERROR(DAVERAGE(_xlnm.Database,FILESTAT!T$3,bfy1998_)),0,DAVERAGE(_xlnm.Database,FILESTAT!T$3,bfy1998_)),0)</f>
        <v>0</v>
      </c>
      <c r="U95" s="122">
        <f>ROUND(IF(ISERROR(DAVERAGE(_xlnm.Database,FILESTAT!U$3,bfy1998_)),0,DAVERAGE(_xlnm.Database,FILESTAT!U$3,bfy1998_)),0)</f>
        <v>7</v>
      </c>
      <c r="V95" s="122"/>
      <c r="W95" s="122">
        <f>ROUND(IF(ISERROR(DAVERAGE(_xlnm.Database,FILESTAT!W$3,bfy1998_)),0,DAVERAGE(_xlnm.Database,FILESTAT!W$3,bfy1998_)),0)</f>
        <v>2</v>
      </c>
      <c r="X95" s="123">
        <f>ROUND(IF(ISERROR(DAVERAGE(_xlnm.Database,FILESTAT!X$3,bfy1998_)),0,DAVERAGE(_xlnm.Database,FILESTAT!X$3,bfy1998_)),0)</f>
        <v>1</v>
      </c>
      <c r="Z95" s="121">
        <f>ROUND(IF(ISERROR(DAVERAGE(_xlnm.Database,FILESTAT!Z$3,bfy1998_)),0,DAVERAGE(_xlnm.Database,FILESTAT!Z$3,bfy1998_)),0)</f>
        <v>1144582</v>
      </c>
      <c r="AA95" s="122">
        <f>ROUND(IF(ISERROR(DAVERAGE(_xlnm.Database,FILESTAT!AA$3,bfy1998_)),0,DAVERAGE(_xlnm.Database,FILESTAT!AA$3,bfy1998_)),0)</f>
        <v>1990085</v>
      </c>
      <c r="AB95" s="122"/>
      <c r="AC95" s="121">
        <f>ROUND(IF(ISERROR(DAVERAGE(_xlnm.Database,FILESTAT!AC$3,bfy1998_)),0,DAVERAGE(_xlnm.Database,FILESTAT!AC$3,bfy1998_)),0)</f>
        <v>932466</v>
      </c>
      <c r="AD95" s="122">
        <f>ROUND(IF(ISERROR(DAVERAGE(_xlnm.Database,FILESTAT!AD$3,bfy1998_)),0,DAVERAGE(_xlnm.Database,FILESTAT!AD$3,bfy1998_)),0)</f>
        <v>2035871</v>
      </c>
      <c r="AE95" s="120">
        <f t="shared" si="215"/>
        <v>2968337</v>
      </c>
      <c r="AG95" s="121">
        <f>ROUND(IF(ISERROR(DAVERAGE(_xlnm.Database,FILESTAT!AG$3,bfy1998_)),0,DAVERAGE(_xlnm.Database,FILESTAT!AG$3,bfy1998_)),0)</f>
        <v>114</v>
      </c>
      <c r="AH95" s="122">
        <f>ROUND(IF(ISERROR(DAVERAGE(_xlnm.Database,FILESTAT!AH$3,bfy1998_)),0,DAVERAGE(_xlnm.Database,FILESTAT!AH$3,bfy1998_)),0)</f>
        <v>19</v>
      </c>
      <c r="AI95" s="122">
        <f>ROUND(IF(ISERROR(DAVERAGE(_xlnm.Database,FILESTAT!AI$3,bfy1998_)),0,DAVERAGE(_xlnm.Database,FILESTAT!AI$3,bfy1998_)),0)</f>
        <v>149</v>
      </c>
      <c r="AJ95" s="123">
        <f>ROUND(IF(ISERROR(DAVERAGE(_xlnm.Database,FILESTAT!AJ$3,bfy1998_)),0,DAVERAGE(_xlnm.Database,FILESTAT!AJ$3,bfy1998_)),0)</f>
        <v>37</v>
      </c>
      <c r="AL95" s="121">
        <f>ROUND(IF(ISERROR(DAVERAGE(_xlnm.Database,FILESTAT!AL$3,bfy1998_)),0,DAVERAGE(_xlnm.Database,FILESTAT!AL$3,bfy1998_)),0)</f>
        <v>34</v>
      </c>
      <c r="AM95" s="122">
        <f>ROUND(IF(ISERROR(DAVERAGE(_xlnm.Database,FILESTAT!AM$3,bfy1998_)),0,DAVERAGE(_xlnm.Database,FILESTAT!AM$3,bfy1998_)),0)</f>
        <v>114</v>
      </c>
      <c r="AN95" s="120">
        <f t="shared" si="213"/>
        <v>148</v>
      </c>
      <c r="AO95" s="122">
        <f>ROUND(IF(ISERROR(DAVERAGE(_xlnm.Database,FILESTAT!AO$3,bfy1998_)),0,DAVERAGE(_xlnm.Database,FILESTAT!AO$3,bfy1998_)),0)</f>
        <v>140</v>
      </c>
      <c r="AP95" s="122">
        <f>ROUND(IF(ISERROR(DAVERAGE(_xlnm.Database,FILESTAT!AP$3,bfy1998_)),0,DAVERAGE(_xlnm.Database,FILESTAT!AP$3,bfy1998_)),0)</f>
        <v>16</v>
      </c>
      <c r="AQ95" s="120">
        <f t="shared" si="214"/>
        <v>156</v>
      </c>
      <c r="AR95" s="122">
        <f>ROUND(IF(ISERROR(DAVERAGE(_xlnm.Database,FILESTAT!AR$3,bfy1998_)),0,DAVERAGE(_xlnm.Database,FILESTAT!AR$3,bfy1998_)),0)</f>
        <v>0</v>
      </c>
      <c r="AS95" s="122">
        <f>ROUND(IF(ISERROR(DAVERAGE(_xlnm.Database,FILESTAT!AS$3,bfy1998_)),0,DAVERAGE(_xlnm.Database,FILESTAT!AS$3,bfy1998_)),0)</f>
        <v>0</v>
      </c>
      <c r="AT95" s="122">
        <f>ROUND(IF(ISERROR(DAVERAGE(_xlnm.Database,FILESTAT!AT$3,bfy1998_)),0,DAVERAGE(_xlnm.Database,FILESTAT!AT$3,bfy1998_)),0)</f>
        <v>0</v>
      </c>
      <c r="AU95" s="122">
        <f>ROUND(IF(ISERROR(DAVERAGE(_xlnm.Database,FILESTAT!AU$3,bfy1998_)),0,DAVERAGE(_xlnm.Database,FILESTAT!AU$3,bfy1998_)),0)</f>
        <v>0</v>
      </c>
      <c r="AV95" s="123">
        <f>ROUND(IF(ISERROR(DAVERAGE(_xlnm.Database,FILESTAT!AV$3,bfy1998_)),0,DAVERAGE(_xlnm.Database,FILESTAT!AV$3,bfy1998_)),0)</f>
        <v>0</v>
      </c>
      <c r="AW95"/>
      <c r="AX95" s="356"/>
      <c r="AY95"/>
      <c r="BA95" s="121">
        <f>ROUND(IF(ISERROR(DAVERAGE(_xlnm.Database,FILESTAT!BA$3,bfy1998_)),0,DAVERAGE(_xlnm.Database,FILESTAT!BA$3,bfy1998_)),0)</f>
        <v>1606</v>
      </c>
      <c r="BB95" s="122">
        <f>ROUND(IF(ISERROR(DAVERAGE(_xlnm.Database,FILESTAT!BB$3,bfy1998_)),0,DAVERAGE(_xlnm.Database,FILESTAT!BB$3,bfy1998_)),0)</f>
        <v>27496161</v>
      </c>
      <c r="BC95" s="122">
        <f>ROUND(IF(ISERROR(DAVERAGE(_xlnm.Database,FILESTAT!BC$3,bfy1998_)),0,DAVERAGE(_xlnm.Database,FILESTAT!BC$3,bfy1998_)),0)</f>
        <v>19375569</v>
      </c>
      <c r="BD95" s="122"/>
      <c r="BE95" s="122">
        <f>ROUND(IF(ISERROR(DAVERAGE(_xlnm.Database,FILESTAT!BE$3,bfy1998_)),0,DAVERAGE(_xlnm.Database,FILESTAT!BE$3,bfy1998_)),0)</f>
        <v>131</v>
      </c>
      <c r="BF95" s="122">
        <f>ROUND(IF(ISERROR(DAVERAGE(_xlnm.Database,FILESTAT!BF$3,bfy1998_)),0,DAVERAGE(_xlnm.Database,FILESTAT!BF$3,bfy1998_)),0)</f>
        <v>8</v>
      </c>
      <c r="BG95" s="122">
        <f>ROUND(IF(ISERROR(DAVERAGE(_xlnm.Database,FILESTAT!BG$3,bfy1998_)),0,DAVERAGE(_xlnm.Database,FILESTAT!BG$3,bfy1998_)),0)</f>
        <v>7</v>
      </c>
      <c r="BH95" s="122"/>
      <c r="BI95" s="122">
        <f>ROUND(IF(ISERROR(DAVERAGE(_xlnm.Database,FILESTAT!BI$3,bfy1998_)),0,DAVERAGE(_xlnm.Database,FILESTAT!BI$3,bfy1998_)),0)</f>
        <v>3228634</v>
      </c>
      <c r="BJ95" s="122"/>
      <c r="BK95" s="122"/>
      <c r="BL95" s="122"/>
      <c r="BM95" s="123">
        <f>ROUND(IF(ISERROR(DAVERAGE(_xlnm.Database,FILESTAT!BM$3,bfy1998_)),0,DAVERAGE(_xlnm.Database,FILESTAT!BM$3,bfy1998_)),0)</f>
        <v>0</v>
      </c>
      <c r="BO95" s="121">
        <f>ROUND(IF(ISERROR(DAVERAGE(_xlnm.Database,FILESTAT!BO$3,bfy1998_)),0,DAVERAGE(_xlnm.Database,FILESTAT!BO$3,bfy1998_)),0)</f>
        <v>0</v>
      </c>
      <c r="BP95" s="123">
        <f>ROUND(IF(ISERROR(DAVERAGE(_xlnm.Database,FILESTAT!BP$3,bfy1998_)),0,DAVERAGE(_xlnm.Database,FILESTAT!BP$3,bfy1998_)),0)</f>
        <v>150</v>
      </c>
      <c r="BR95" s="250"/>
      <c r="BS95" s="178"/>
      <c r="BT95" s="251"/>
      <c r="BV95" s="121">
        <f>ROUND(IF(ISERROR(DAVERAGE(_xlnm.Database,FILESTAT!BV$3,bfy1998_)),0,DAVERAGE(_xlnm.Database,FILESTAT!BV$3,bfy1998_)),0)</f>
        <v>0</v>
      </c>
      <c r="BW95" s="122">
        <f>ROUND(IF(ISERROR(DAVERAGE(_xlnm.Database,FILESTAT!BW$3,bfy1998_)),0,DAVERAGE(_xlnm.Database,FILESTAT!BW$3,bfy1998_)),0)</f>
        <v>0</v>
      </c>
      <c r="BX95" s="122">
        <f>ROUND(IF(ISERROR(DAVERAGE(_xlnm.Database,FILESTAT!BX$3,bfy1998_)),0,DAVERAGE(_xlnm.Database,FILESTAT!BX$3,bfy1998_)),0)</f>
        <v>0</v>
      </c>
      <c r="BY95" s="122">
        <f>ROUND(IF(ISERROR(DAVERAGE(_xlnm.Database,FILESTAT!BY$3,bfy1998_)),0,DAVERAGE(_xlnm.Database,FILESTAT!BY$3,bfy1998_)),0)</f>
        <v>0</v>
      </c>
      <c r="BZ95" s="122">
        <f>ROUND(IF(ISERROR(DAVERAGE(_xlnm.Database,FILESTAT!BZ$3,bfy1998_)),0,DAVERAGE(_xlnm.Database,FILESTAT!BZ$3,bfy1998_)),0)</f>
        <v>0</v>
      </c>
      <c r="CA95" s="122">
        <f>ROUND(IF(ISERROR(DAVERAGE(_xlnm.Database,FILESTAT!CA$3,bfy1998_)),0,DAVERAGE(_xlnm.Database,FILESTAT!CA$3,bfy1998_)),0)</f>
        <v>0</v>
      </c>
      <c r="CB95" s="122">
        <f>ROUND(IF(ISERROR(DAVERAGE(_xlnm.Database,FILESTAT!CB$3,bfy1998_)),0,DAVERAGE(_xlnm.Database,FILESTAT!CB$3,bfy1998_)),0)</f>
        <v>0</v>
      </c>
      <c r="CC95" s="122"/>
      <c r="CD95" s="122">
        <f>ROUND(IF(ISERROR(DAVERAGE(_xlnm.Database,FILESTAT!CD$3,bfy1998_)),0,DAVERAGE(_xlnm.Database,FILESTAT!CD$3,bfy1998_)),0)</f>
        <v>0</v>
      </c>
      <c r="CE95" s="122">
        <f>ROUND(IF(ISERROR(DAVERAGE(_xlnm.Database,FILESTAT!CE$3,bfy1998_)),0,DAVERAGE(_xlnm.Database,FILESTAT!CE$3,bfy1998_)),0)</f>
        <v>0</v>
      </c>
      <c r="CF95" s="122">
        <f>ROUND(IF(ISERROR(DAVERAGE(_xlnm.Database,FILESTAT!CF$3,bfy1998_)),0,DAVERAGE(_xlnm.Database,FILESTAT!CF$3,bfy1998_)),0)</f>
        <v>0</v>
      </c>
      <c r="CG95" s="122">
        <f>ROUND(IF(ISERROR(DAVERAGE(_xlnm.Database,FILESTAT!CG$3,bfy1998_)),0,DAVERAGE(_xlnm.Database,FILESTAT!CG$3,bfy1998_)),0)</f>
        <v>0</v>
      </c>
      <c r="CH95" s="122">
        <f>ROUND(IF(ISERROR(DAVERAGE(_xlnm.Database,FILESTAT!CH$3,bfy1998_)),0,DAVERAGE(_xlnm.Database,FILESTAT!CH$3,bfy1998_)),0)</f>
        <v>0</v>
      </c>
      <c r="CI95" s="122">
        <f>ROUND(IF(ISERROR(DAVERAGE(_xlnm.Database,FILESTAT!CI$3,bfy1998_)),0,DAVERAGE(_xlnm.Database,FILESTAT!CI$3,bfy1998_)),0)</f>
        <v>0</v>
      </c>
      <c r="CJ95" s="122">
        <f>ROUND(IF(ISERROR(DAVERAGE(_xlnm.Database,FILESTAT!CJ$3,bfy1998_)),0,DAVERAGE(_xlnm.Database,FILESTAT!CJ$3,bfy1998_)),0)</f>
        <v>0</v>
      </c>
      <c r="CK95" s="122"/>
      <c r="CL95" s="122"/>
      <c r="CM95" s="122">
        <f>ROUND(IF(ISERROR(DAVERAGE(_xlnm.Database,FILESTAT!CM$3,bfy1998_)),0,DAVERAGE(_xlnm.Database,FILESTAT!CM$3,bfy1998_)),0)</f>
        <v>0</v>
      </c>
      <c r="CN95" s="122">
        <f>ROUND(IF(ISERROR(DAVERAGE(_xlnm.Database,FILESTAT!CN$3,bfy1998_)),0,DAVERAGE(_xlnm.Database,FILESTAT!CN$3,bfy1998_)),0)</f>
        <v>0</v>
      </c>
      <c r="CO95" s="122">
        <f>ROUND(IF(ISERROR(DAVERAGE(_xlnm.Database,FILESTAT!CO$3,bfy1998_)),0,DAVERAGE(_xlnm.Database,FILESTAT!CO$3,bfy1998_)),0)</f>
        <v>0</v>
      </c>
      <c r="CP95" s="122"/>
      <c r="CQ95" s="122">
        <f>ROUND(IF(ISERROR(DAVERAGE(_xlnm.Database,FILESTAT!CQ$3,bfy1998_)),0,DAVERAGE(_xlnm.Database,FILESTAT!CQ$3,bfy1998_)),0)</f>
        <v>0</v>
      </c>
      <c r="CR95" s="122"/>
      <c r="CS95" s="122">
        <f>ROUND(IF(ISERROR(DAVERAGE(_xlnm.Database,FILESTAT!CS$3,bfy1998_)),0,DAVERAGE(_xlnm.Database,FILESTAT!CS$3,bfy1998_)),0)</f>
        <v>0</v>
      </c>
      <c r="CT95" s="122">
        <f>ROUND(IF(ISERROR(DAVERAGE(_xlnm.Database,FILESTAT!CT$3,bfy1998_)),0,DAVERAGE(_xlnm.Database,FILESTAT!CT$3,bfy1998_)),0)</f>
        <v>0</v>
      </c>
      <c r="CU95" s="122">
        <f>ROUND(IF(ISERROR(DAVERAGE(_xlnm.Database,FILESTAT!CU$3,bfy1998_)),0,DAVERAGE(_xlnm.Database,FILESTAT!CU$3,bfy1998_)),0)</f>
        <v>0</v>
      </c>
      <c r="CV95" s="122">
        <f>ROUND(IF(ISERROR(DAVERAGE(_xlnm.Database,FILESTAT!CV$3,bfy1998_)),0,DAVERAGE(_xlnm.Database,FILESTAT!CV$3,bfy1998_)),0)</f>
        <v>0</v>
      </c>
      <c r="CW95" s="122">
        <f>ROUND(IF(ISERROR(DAVERAGE(_xlnm.Database,FILESTAT!CW$3,bfy1998_)),0,DAVERAGE(_xlnm.Database,FILESTAT!CW$3,bfy1998_)),0)</f>
        <v>0</v>
      </c>
      <c r="CX95" s="122"/>
      <c r="CY95" s="122">
        <f>ROUND(IF(ISERROR(DAVERAGE(_xlnm.Database,FILESTAT!CY$3,bfy1998_)),0,DAVERAGE(_xlnm.Database,FILESTAT!CY$3,bfy1998_)),0)</f>
        <v>0</v>
      </c>
      <c r="CZ95" s="122">
        <f>ROUND(IF(ISERROR(DAVERAGE(_xlnm.Database,FILESTAT!CZ$3,bfy1998_)),0,DAVERAGE(_xlnm.Database,FILESTAT!CZ$3,bfy1998_)),0)</f>
        <v>0</v>
      </c>
      <c r="DA95" s="122">
        <f>ROUND(IF(ISERROR(DAVERAGE(_xlnm.Database,FILESTAT!DA$3,bfy1998_)),0,DAVERAGE(_xlnm.Database,FILESTAT!DA$3,bfy1998_)),0)</f>
        <v>0</v>
      </c>
      <c r="DB95" s="122">
        <f>ROUND(IF(ISERROR(DAVERAGE(_xlnm.Database,FILESTAT!DB$3,bfy1998_)),0,DAVERAGE(_xlnm.Database,FILESTAT!DB$3,bfy1998_)),0)</f>
        <v>0</v>
      </c>
      <c r="DC95" s="122">
        <f>ROUND(IF(ISERROR(DAVERAGE(_xlnm.Database,FILESTAT!DC$3,bfy1998_)),0,DAVERAGE(_xlnm.Database,FILESTAT!DC$3,bfy1998_)),0)</f>
        <v>0</v>
      </c>
      <c r="DD95" s="122">
        <f>ROUND(IF(ISERROR(DAVERAGE(_xlnm.Database,FILESTAT!DD$3,bfy1998_)),0,DAVERAGE(_xlnm.Database,FILESTAT!DD$3,bfy1998_)),0)</f>
        <v>0</v>
      </c>
      <c r="DE95" s="122">
        <f>ROUND(IF(ISERROR(DAVERAGE(_xlnm.Database,FILESTAT!DE$3,bfy1998_)),0,DAVERAGE(_xlnm.Database,FILESTAT!DE$3,bfy1998_)),0)</f>
        <v>0</v>
      </c>
      <c r="DF95" s="122">
        <f>ROUND(IF(ISERROR(DAVERAGE(_xlnm.Database,FILESTAT!DF$3,bfy1998_)),0,DAVERAGE(_xlnm.Database,FILESTAT!DF$3,bfy1998_)),0)</f>
        <v>0</v>
      </c>
      <c r="DG95" s="122">
        <f>ROUND(IF(ISERROR(DAVERAGE(_xlnm.Database,FILESTAT!DG$3,bfy1998_)),0,DAVERAGE(_xlnm.Database,FILESTAT!DG$3,bfy1998_)),0)</f>
        <v>0</v>
      </c>
      <c r="DH95" s="122">
        <f>ROUND(IF(ISERROR(DAVERAGE(_xlnm.Database,FILESTAT!DH$3,bfy1998_)),0,DAVERAGE(_xlnm.Database,FILESTAT!DH$3,bfy1998_)),0)</f>
        <v>0</v>
      </c>
      <c r="DI95" s="122">
        <f>ROUND(IF(ISERROR(DAVERAGE(_xlnm.Database,FILESTAT!DI$3,bfy1998_)),0,DAVERAGE(_xlnm.Database,FILESTAT!DI$3,bfy1998_)),0)</f>
        <v>0</v>
      </c>
      <c r="DJ95" s="122">
        <f>ROUND(IF(ISERROR(DAVERAGE(_xlnm.Database,FILESTAT!DJ$3,bfy1998_)),0,DAVERAGE(_xlnm.Database,FILESTAT!DJ$3,bfy1998_)),0)</f>
        <v>0</v>
      </c>
      <c r="DK95" s="122"/>
      <c r="DL95" s="122">
        <f>ROUND(IF(ISERROR(DAVERAGE(_xlnm.Database,FILESTAT!DL$3,bfy1998_)),0,DAVERAGE(_xlnm.Database,FILESTAT!DL$3,bfy1998_)),0)</f>
        <v>0</v>
      </c>
      <c r="DM95" s="122">
        <f>ROUND(IF(ISERROR(DAVERAGE(_xlnm.Database,FILESTAT!DM$3,bfy1998_)),0,DAVERAGE(_xlnm.Database,FILESTAT!DM$3,bfy1998_)),0)</f>
        <v>0</v>
      </c>
      <c r="DN95" s="122">
        <f>ROUND(IF(ISERROR(DAVERAGE(_xlnm.Database,FILESTAT!DN$3,bfy1998_)),0,DAVERAGE(_xlnm.Database,FILESTAT!DN$3,bfy1998_)),0)</f>
        <v>0</v>
      </c>
      <c r="DO95" s="122">
        <f>ROUND(IF(ISERROR(DAVERAGE(_xlnm.Database,FILESTAT!DO$3,bfy1998_)),0,DAVERAGE(_xlnm.Database,FILESTAT!DO$3,bfy1998_)),0)</f>
        <v>0</v>
      </c>
      <c r="DP95" s="122">
        <f>ROUND(IF(ISERROR(DAVERAGE(_xlnm.Database,FILESTAT!DP$3,bfy1998_)),0,DAVERAGE(_xlnm.Database,FILESTAT!DP$3,bfy1998_)),0)</f>
        <v>0</v>
      </c>
      <c r="DQ95" s="122">
        <f>ROUND(IF(ISERROR(DAVERAGE(_xlnm.Database,FILESTAT!DQ$3,bfy1998_)),0,DAVERAGE(_xlnm.Database,FILESTAT!DQ$3,bfy1998_)),0)</f>
        <v>0</v>
      </c>
      <c r="DR95" s="122"/>
      <c r="DS95" s="122">
        <f>ROUND(IF(ISERROR(DAVERAGE(_xlnm.Database,FILESTAT!DS$3,bfy1998_)),0,DAVERAGE(_xlnm.Database,FILESTAT!DS$3,bfy1998_)),0)</f>
        <v>0</v>
      </c>
      <c r="DT95" s="122">
        <f>ROUND(IF(ISERROR(DAVERAGE(_xlnm.Database,FILESTAT!DT$3,bfy1998_)),0,DAVERAGE(_xlnm.Database,FILESTAT!DT$3,bfy1998_)),0)</f>
        <v>0</v>
      </c>
      <c r="DU95" s="122">
        <f>ROUND(IF(ISERROR(DAVERAGE(_xlnm.Database,FILESTAT!DU$3,bfy1998_)),0,DAVERAGE(_xlnm.Database,FILESTAT!DU$3,bfy1998_)),0)</f>
        <v>0</v>
      </c>
      <c r="DV95" s="127">
        <f t="shared" si="212"/>
        <v>0</v>
      </c>
      <c r="DW95" s="128"/>
    </row>
    <row r="96" spans="1:129" s="111" customFormat="1">
      <c r="A96" s="228">
        <v>1999</v>
      </c>
      <c r="B96" s="24"/>
      <c r="C96" s="121">
        <f>ROUND(IF(ISERROR(DAVERAGE(_xlnm.Database,FILESTAT!C$3,bfy1999_)),0,DAVERAGE(_xlnm.Database,FILESTAT!C$3,bfy1999_)),0)</f>
        <v>4</v>
      </c>
      <c r="D96" s="122">
        <f>ROUND(IF(ISERROR(DAVERAGE(_xlnm.Database,FILESTAT!D$3,bfy1999_)),0,DAVERAGE(_xlnm.Database,FILESTAT!D$3,bfy1999_)),0)</f>
        <v>17</v>
      </c>
      <c r="E96" s="122">
        <f>ROUND(IF(ISERROR(DAVERAGE(_xlnm.Database,FILESTAT!E$3,bfy1999_)),0,DAVERAGE(_xlnm.Database,FILESTAT!E$3,bfy1999_)),0)</f>
        <v>2</v>
      </c>
      <c r="F96" s="122">
        <f>ROUND(IF(ISERROR(DAVERAGE(_xlnm.Database,FILESTAT!F$3,bfy1999_)),0,DAVERAGE(_xlnm.Database,FILESTAT!F$3,bfy1999_)),0)</f>
        <v>0</v>
      </c>
      <c r="G96" s="122">
        <f>ROUND(IF(ISERROR(DAVERAGE(_xlnm.Database,FILESTAT!G$3,bfy1999_)),0,DAVERAGE(_xlnm.Database,FILESTAT!G$3,bfy1999_)),0)</f>
        <v>1</v>
      </c>
      <c r="H96" s="122">
        <f>ROUND(IF(ISERROR(DAVERAGE(_xlnm.Database,FILESTAT!H$3,bfy1999_)),0,DAVERAGE(_xlnm.Database,FILESTAT!H$3,bfy1999_)),0)</f>
        <v>1</v>
      </c>
      <c r="I96" s="122">
        <f>ROUND(IF(ISERROR(DAVERAGE(_xlnm.Database,FILESTAT!I$3,bfy1999_)),0,DAVERAGE(_xlnm.Database,FILESTAT!I$3,bfy1999_)),0)</f>
        <v>0</v>
      </c>
      <c r="J96" s="122">
        <f>ROUND(IF(ISERROR(DAVERAGE(_xlnm.Database,FILESTAT!J$3,bfy1999_)),0,DAVERAGE(_xlnm.Database,FILESTAT!J$3,bfy1999_)),0)</f>
        <v>5</v>
      </c>
      <c r="K96" s="122">
        <f>ROUND(IF(ISERROR(DAVERAGE(_xlnm.Database,FILESTAT!K$3,bfy1999_)),0,DAVERAGE(_xlnm.Database,FILESTAT!K$3,bfy1999_)),0)</f>
        <v>0</v>
      </c>
      <c r="L96" s="122">
        <f>ROUND(IF(ISERROR(DAVERAGE(_xlnm.Database,FILESTAT!L$3,bfy1999_)),0,DAVERAGE(_xlnm.Database,FILESTAT!L$3,bfy1999_)),0)</f>
        <v>0</v>
      </c>
      <c r="M96" s="122">
        <f>ROUND(IF(ISERROR(DAVERAGE(_xlnm.Database,FILESTAT!M$3,bfy1999_)),0,DAVERAGE(_xlnm.Database,FILESTAT!M$3,bfy1999_)),0)</f>
        <v>0</v>
      </c>
      <c r="N96" s="122">
        <f>ROUND(IF(ISERROR(DAVERAGE(_xlnm.Database,FILESTAT!N$3,bfy1999_)),0,DAVERAGE(_xlnm.Database,FILESTAT!N$3,bfy1999_)),0)</f>
        <v>0</v>
      </c>
      <c r="O96" s="122">
        <f>ROUND(IF(ISERROR(DAVERAGE(_xlnm.Database,FILESTAT!O$3,bfy1999_)),0,DAVERAGE(_xlnm.Database,FILESTAT!O$3,bfy1999_)),0)</f>
        <v>6</v>
      </c>
      <c r="P96" s="122">
        <f>ROUND(IF(ISERROR(DAVERAGE(_xlnm.Database,FILESTAT!P$3,bfy1999_)),0,DAVERAGE(_xlnm.Database,FILESTAT!P$3,bfy1999_)),0)</f>
        <v>3</v>
      </c>
      <c r="Q96" s="122">
        <f>ROUND(IF(ISERROR(DAVERAGE(_xlnm.Database,FILESTAT!Q$3,bfy1999_)),0,DAVERAGE(_xlnm.Database,FILESTAT!Q$3,bfy1999_)),0)</f>
        <v>0</v>
      </c>
      <c r="R96" s="122">
        <f>ROUND(IF(ISERROR(DAVERAGE(_xlnm.Database,FILESTAT!R$3,bfy1999_)),0,DAVERAGE(_xlnm.Database,FILESTAT!R$3,bfy1999_)),0)</f>
        <v>0</v>
      </c>
      <c r="S96" s="120">
        <f t="shared" si="211"/>
        <v>39</v>
      </c>
      <c r="T96" s="122">
        <f>ROUND(IF(ISERROR(DAVERAGE(_xlnm.Database,FILESTAT!T$3,bfy1999_)),0,DAVERAGE(_xlnm.Database,FILESTAT!T$3,bfy1999_)),0)</f>
        <v>1</v>
      </c>
      <c r="U96" s="122">
        <f>ROUND(IF(ISERROR(DAVERAGE(_xlnm.Database,FILESTAT!U$3,bfy1999_)),0,DAVERAGE(_xlnm.Database,FILESTAT!U$3,bfy1999_)),0)</f>
        <v>12</v>
      </c>
      <c r="V96" s="122"/>
      <c r="W96" s="122">
        <f>ROUND(IF(ISERROR(DAVERAGE(_xlnm.Database,FILESTAT!W$3,bfy1999_)),0,DAVERAGE(_xlnm.Database,FILESTAT!W$3,bfy1999_)),0)</f>
        <v>0</v>
      </c>
      <c r="X96" s="123">
        <f>ROUND(IF(ISERROR(DAVERAGE(_xlnm.Database,FILESTAT!X$3,bfy1999_)),0,DAVERAGE(_xlnm.Database,FILESTAT!X$3,bfy1999_)),0)</f>
        <v>0</v>
      </c>
      <c r="Z96" s="121">
        <f>ROUND(IF(ISERROR(DAVERAGE(_xlnm.Database,FILESTAT!Z$3,bfy1999_)),0,DAVERAGE(_xlnm.Database,FILESTAT!Z$3,bfy1999_)),0)</f>
        <v>1158651</v>
      </c>
      <c r="AA96" s="122">
        <f>ROUND(IF(ISERROR(DAVERAGE(_xlnm.Database,FILESTAT!AA$3,bfy1999_)),0,DAVERAGE(_xlnm.Database,FILESTAT!AA$3,bfy1999_)),0)</f>
        <v>772037</v>
      </c>
      <c r="AB96" s="122"/>
      <c r="AC96" s="121">
        <f>ROUND(IF(ISERROR(DAVERAGE(_xlnm.Database,FILESTAT!AC$3,bfy1999_)),0,DAVERAGE(_xlnm.Database,FILESTAT!AC$3,bfy1999_)),0)</f>
        <v>668320</v>
      </c>
      <c r="AD96" s="122">
        <f>ROUND(IF(ISERROR(DAVERAGE(_xlnm.Database,FILESTAT!AD$3,bfy1999_)),0,DAVERAGE(_xlnm.Database,FILESTAT!AD$3,bfy1999_)),0)</f>
        <v>1140713</v>
      </c>
      <c r="AE96" s="120">
        <f t="shared" si="215"/>
        <v>1809033</v>
      </c>
      <c r="AG96" s="121">
        <f>ROUND(IF(ISERROR(DAVERAGE(_xlnm.Database,FILESTAT!AG$3,bfy1999_)),0,DAVERAGE(_xlnm.Database,FILESTAT!AG$3,bfy1999_)),0)</f>
        <v>75</v>
      </c>
      <c r="AH96" s="122">
        <f>ROUND(IF(ISERROR(DAVERAGE(_xlnm.Database,FILESTAT!AH$3,bfy1999_)),0,DAVERAGE(_xlnm.Database,FILESTAT!AH$3,bfy1999_)),0)</f>
        <v>45</v>
      </c>
      <c r="AI96" s="122">
        <f>ROUND(IF(ISERROR(DAVERAGE(_xlnm.Database,FILESTAT!AI$3,bfy1999_)),0,DAVERAGE(_xlnm.Database,FILESTAT!AI$3,bfy1999_)),0)</f>
        <v>133</v>
      </c>
      <c r="AJ96" s="123">
        <f>ROUND(IF(ISERROR(DAVERAGE(_xlnm.Database,FILESTAT!AJ$3,bfy1999_)),0,DAVERAGE(_xlnm.Database,FILESTAT!AJ$3,bfy1999_)),0)</f>
        <v>27</v>
      </c>
      <c r="AL96" s="121">
        <f>ROUND(IF(ISERROR(DAVERAGE(_xlnm.Database,FILESTAT!AL$3,bfy1999_)),0,DAVERAGE(_xlnm.Database,FILESTAT!AL$3,bfy1999_)),0)</f>
        <v>36</v>
      </c>
      <c r="AM96" s="122">
        <f>ROUND(IF(ISERROR(DAVERAGE(_xlnm.Database,FILESTAT!AM$3,bfy1999_)),0,DAVERAGE(_xlnm.Database,FILESTAT!AM$3,bfy1999_)),0)</f>
        <v>102</v>
      </c>
      <c r="AN96" s="120">
        <f t="shared" si="213"/>
        <v>138</v>
      </c>
      <c r="AO96" s="122">
        <f>ROUND(IF(ISERROR(DAVERAGE(_xlnm.Database,FILESTAT!AO$3,bfy1999_)),0,DAVERAGE(_xlnm.Database,FILESTAT!AO$3,bfy1999_)),0)</f>
        <v>110</v>
      </c>
      <c r="AP96" s="122">
        <f>ROUND(IF(ISERROR(DAVERAGE(_xlnm.Database,FILESTAT!AP$3,bfy1999_)),0,DAVERAGE(_xlnm.Database,FILESTAT!AP$3,bfy1999_)),0)</f>
        <v>12</v>
      </c>
      <c r="AQ96" s="120">
        <f t="shared" si="214"/>
        <v>122</v>
      </c>
      <c r="AR96" s="122">
        <f>ROUND(IF(ISERROR(DAVERAGE(_xlnm.Database,FILESTAT!AR$3,bfy1999_)),0,DAVERAGE(_xlnm.Database,FILESTAT!AR$3,bfy1999_)),0)</f>
        <v>0</v>
      </c>
      <c r="AS96" s="122">
        <f>ROUND(IF(ISERROR(DAVERAGE(_xlnm.Database,FILESTAT!AS$3,bfy1999_)),0,DAVERAGE(_xlnm.Database,FILESTAT!AS$3,bfy1999_)),0)</f>
        <v>0</v>
      </c>
      <c r="AT96" s="122">
        <f>ROUND(IF(ISERROR(DAVERAGE(_xlnm.Database,FILESTAT!AT$3,bfy1999_)),0,DAVERAGE(_xlnm.Database,FILESTAT!AT$3,bfy1999_)),0)</f>
        <v>0</v>
      </c>
      <c r="AU96" s="122">
        <f>ROUND(IF(ISERROR(DAVERAGE(_xlnm.Database,FILESTAT!AU$3,bfy1999_)),0,DAVERAGE(_xlnm.Database,FILESTAT!AU$3,bfy1999_)),0)</f>
        <v>0</v>
      </c>
      <c r="AV96" s="123">
        <f>ROUND(IF(ISERROR(DAVERAGE(_xlnm.Database,FILESTAT!AV$3,bfy1999_)),0,DAVERAGE(_xlnm.Database,FILESTAT!AV$3,bfy1999_)),0)</f>
        <v>0</v>
      </c>
      <c r="AW96"/>
      <c r="AX96" s="356"/>
      <c r="AY96"/>
      <c r="BA96" s="121">
        <f>ROUND(IF(ISERROR(DAVERAGE(_xlnm.Database,FILESTAT!BA$3,bfy1999_)),0,DAVERAGE(_xlnm.Database,FILESTAT!BA$3,bfy1999_)),0)</f>
        <v>1641</v>
      </c>
      <c r="BB96" s="122">
        <f>ROUND(IF(ISERROR(DAVERAGE(_xlnm.Database,FILESTAT!BB$3,bfy1999_)),0,DAVERAGE(_xlnm.Database,FILESTAT!BB$3,bfy1999_)),0)</f>
        <v>28106066</v>
      </c>
      <c r="BC96" s="122">
        <f>ROUND(IF(ISERROR(DAVERAGE(_xlnm.Database,FILESTAT!BC$3,bfy1999_)),0,DAVERAGE(_xlnm.Database,FILESTAT!BC$3,bfy1999_)),0)</f>
        <v>19814571</v>
      </c>
      <c r="BD96" s="122"/>
      <c r="BE96" s="122">
        <f>ROUND(IF(ISERROR(DAVERAGE(_xlnm.Database,FILESTAT!BE$3,bfy1999_)),0,DAVERAGE(_xlnm.Database,FILESTAT!BE$3,bfy1999_)),0)</f>
        <v>49</v>
      </c>
      <c r="BF96" s="122">
        <f>ROUND(IF(ISERROR(DAVERAGE(_xlnm.Database,FILESTAT!BF$3,bfy1999_)),0,DAVERAGE(_xlnm.Database,FILESTAT!BF$3,bfy1999_)),0)</f>
        <v>9</v>
      </c>
      <c r="BG96" s="122">
        <f>ROUND(IF(ISERROR(DAVERAGE(_xlnm.Database,FILESTAT!BG$3,bfy1999_)),0,DAVERAGE(_xlnm.Database,FILESTAT!BG$3,bfy1999_)),0)</f>
        <v>3</v>
      </c>
      <c r="BH96" s="122"/>
      <c r="BI96" s="122">
        <f>ROUND(IF(ISERROR(DAVERAGE(_xlnm.Database,FILESTAT!BI$3,bfy1999_)),0,DAVERAGE(_xlnm.Database,FILESTAT!BI$3,bfy1999_)),0)</f>
        <v>1573493</v>
      </c>
      <c r="BJ96" s="122"/>
      <c r="BK96" s="122"/>
      <c r="BL96" s="122"/>
      <c r="BM96" s="123">
        <f>ROUND(IF(ISERROR(DAVERAGE(_xlnm.Database,FILESTAT!BM$3,bfy1999_)),0,DAVERAGE(_xlnm.Database,FILESTAT!BM$3,bfy1999_)),0)</f>
        <v>0</v>
      </c>
      <c r="BO96" s="121">
        <f>ROUND(IF(ISERROR(DAVERAGE(_xlnm.Database,FILESTAT!BO$3,bfy1999_)),0,DAVERAGE(_xlnm.Database,FILESTAT!BO$3,bfy1999_)),0)</f>
        <v>0</v>
      </c>
      <c r="BP96" s="123">
        <f>ROUND(IF(ISERROR(DAVERAGE(_xlnm.Database,FILESTAT!BP$3,bfy1999_)),0,DAVERAGE(_xlnm.Database,FILESTAT!BP$3,bfy1999_)),0)</f>
        <v>150</v>
      </c>
      <c r="BR96" s="252"/>
      <c r="BS96" s="179"/>
      <c r="BT96" s="251"/>
      <c r="BV96" s="121">
        <f>ROUND(IF(ISERROR(DAVERAGE(_xlnm.Database,FILESTAT!BV$3,bfy1999_)),0,DAVERAGE(_xlnm.Database,FILESTAT!BV$3,bfy1999_)),0)</f>
        <v>0</v>
      </c>
      <c r="BW96" s="122">
        <f>ROUND(IF(ISERROR(DAVERAGE(_xlnm.Database,FILESTAT!BW$3,bfy1999_)),0,DAVERAGE(_xlnm.Database,FILESTAT!BW$3,bfy1999_)),0)</f>
        <v>0</v>
      </c>
      <c r="BX96" s="122">
        <f>ROUND(IF(ISERROR(DAVERAGE(_xlnm.Database,FILESTAT!BX$3,bfy1999_)),0,DAVERAGE(_xlnm.Database,FILESTAT!BX$3,bfy1999_)),0)</f>
        <v>0</v>
      </c>
      <c r="BY96" s="122">
        <f>ROUND(IF(ISERROR(DAVERAGE(_xlnm.Database,FILESTAT!BY$3,bfy1999_)),0,DAVERAGE(_xlnm.Database,FILESTAT!BY$3,bfy1999_)),0)</f>
        <v>0</v>
      </c>
      <c r="BZ96" s="122">
        <f>ROUND(IF(ISERROR(DAVERAGE(_xlnm.Database,FILESTAT!BZ$3,bfy1999_)),0,DAVERAGE(_xlnm.Database,FILESTAT!BZ$3,bfy1999_)),0)</f>
        <v>0</v>
      </c>
      <c r="CA96" s="122">
        <f>ROUND(IF(ISERROR(DAVERAGE(_xlnm.Database,FILESTAT!CA$3,bfy1999_)),0,DAVERAGE(_xlnm.Database,FILESTAT!CA$3,bfy1999_)),0)</f>
        <v>0</v>
      </c>
      <c r="CB96" s="122">
        <f>ROUND(IF(ISERROR(DAVERAGE(_xlnm.Database,FILESTAT!CB$3,bfy1999_)),0,DAVERAGE(_xlnm.Database,FILESTAT!CB$3,bfy1999_)),0)</f>
        <v>0</v>
      </c>
      <c r="CC96" s="122"/>
      <c r="CD96" s="122">
        <f>ROUND(IF(ISERROR(DAVERAGE(_xlnm.Database,FILESTAT!CD$3,bfy1999_)),0,DAVERAGE(_xlnm.Database,FILESTAT!CD$3,bfy1999_)),0)</f>
        <v>0</v>
      </c>
      <c r="CE96" s="122">
        <f>ROUND(IF(ISERROR(DAVERAGE(_xlnm.Database,FILESTAT!CE$3,bfy1999_)),0,DAVERAGE(_xlnm.Database,FILESTAT!CE$3,bfy1999_)),0)</f>
        <v>0</v>
      </c>
      <c r="CF96" s="122">
        <f>ROUND(IF(ISERROR(DAVERAGE(_xlnm.Database,FILESTAT!CF$3,bfy1999_)),0,DAVERAGE(_xlnm.Database,FILESTAT!CF$3,bfy1999_)),0)</f>
        <v>0</v>
      </c>
      <c r="CG96" s="122">
        <f>ROUND(IF(ISERROR(DAVERAGE(_xlnm.Database,FILESTAT!CG$3,bfy1999_)),0,DAVERAGE(_xlnm.Database,FILESTAT!CG$3,bfy1999_)),0)</f>
        <v>0</v>
      </c>
      <c r="CH96" s="122">
        <f>ROUND(IF(ISERROR(DAVERAGE(_xlnm.Database,FILESTAT!CH$3,bfy1999_)),0,DAVERAGE(_xlnm.Database,FILESTAT!CH$3,bfy1999_)),0)</f>
        <v>0</v>
      </c>
      <c r="CI96" s="122">
        <f>ROUND(IF(ISERROR(DAVERAGE(_xlnm.Database,FILESTAT!CI$3,bfy1999_)),0,DAVERAGE(_xlnm.Database,FILESTAT!CI$3,bfy1999_)),0)</f>
        <v>0</v>
      </c>
      <c r="CJ96" s="122">
        <f>ROUND(IF(ISERROR(DAVERAGE(_xlnm.Database,FILESTAT!CJ$3,bfy1999_)),0,DAVERAGE(_xlnm.Database,FILESTAT!CJ$3,bfy1999_)),0)</f>
        <v>0</v>
      </c>
      <c r="CK96" s="122"/>
      <c r="CL96" s="122"/>
      <c r="CM96" s="122">
        <f>ROUND(IF(ISERROR(DAVERAGE(_xlnm.Database,FILESTAT!CM$3,bfy1999_)),0,DAVERAGE(_xlnm.Database,FILESTAT!CM$3,bfy1999_)),0)</f>
        <v>0</v>
      </c>
      <c r="CN96" s="122">
        <f>ROUND(IF(ISERROR(DAVERAGE(_xlnm.Database,FILESTAT!CN$3,bfy1999_)),0,DAVERAGE(_xlnm.Database,FILESTAT!CN$3,bfy1999_)),0)</f>
        <v>0</v>
      </c>
      <c r="CO96" s="122">
        <f>ROUND(IF(ISERROR(DAVERAGE(_xlnm.Database,FILESTAT!CO$3,bfy1999_)),0,DAVERAGE(_xlnm.Database,FILESTAT!CO$3,bfy1999_)),0)</f>
        <v>0</v>
      </c>
      <c r="CP96" s="122"/>
      <c r="CQ96" s="122">
        <f>ROUND(IF(ISERROR(DAVERAGE(_xlnm.Database,FILESTAT!CQ$3,bfy1999_)),0,DAVERAGE(_xlnm.Database,FILESTAT!CQ$3,bfy1999_)),0)</f>
        <v>0</v>
      </c>
      <c r="CR96" s="122"/>
      <c r="CS96" s="122">
        <f>ROUND(IF(ISERROR(DAVERAGE(_xlnm.Database,FILESTAT!CS$3,bfy1999_)),0,DAVERAGE(_xlnm.Database,FILESTAT!CS$3,bfy1999_)),0)</f>
        <v>0</v>
      </c>
      <c r="CT96" s="122">
        <f>ROUND(IF(ISERROR(DAVERAGE(_xlnm.Database,FILESTAT!CT$3,bfy1999_)),0,DAVERAGE(_xlnm.Database,FILESTAT!CT$3,bfy1999_)),0)</f>
        <v>0</v>
      </c>
      <c r="CU96" s="122">
        <f>ROUND(IF(ISERROR(DAVERAGE(_xlnm.Database,FILESTAT!CU$3,bfy1999_)),0,DAVERAGE(_xlnm.Database,FILESTAT!CU$3,bfy1999_)),0)</f>
        <v>0</v>
      </c>
      <c r="CV96" s="122">
        <f>ROUND(IF(ISERROR(DAVERAGE(_xlnm.Database,FILESTAT!CV$3,bfy1999_)),0,DAVERAGE(_xlnm.Database,FILESTAT!CV$3,bfy1999_)),0)</f>
        <v>0</v>
      </c>
      <c r="CW96" s="122">
        <f>ROUND(IF(ISERROR(DAVERAGE(_xlnm.Database,FILESTAT!CW$3,bfy1999_)),0,DAVERAGE(_xlnm.Database,FILESTAT!CW$3,bfy1999_)),0)</f>
        <v>0</v>
      </c>
      <c r="CX96" s="122"/>
      <c r="CY96" s="122">
        <f>ROUND(IF(ISERROR(DAVERAGE(_xlnm.Database,FILESTAT!CY$3,bfy1999_)),0,DAVERAGE(_xlnm.Database,FILESTAT!CY$3,bfy1999_)),0)</f>
        <v>0</v>
      </c>
      <c r="CZ96" s="122">
        <f>ROUND(IF(ISERROR(DAVERAGE(_xlnm.Database,FILESTAT!CZ$3,bfy1999_)),0,DAVERAGE(_xlnm.Database,FILESTAT!CZ$3,bfy1999_)),0)</f>
        <v>0</v>
      </c>
      <c r="DA96" s="122">
        <f>ROUND(IF(ISERROR(DAVERAGE(_xlnm.Database,FILESTAT!DA$3,bfy1999_)),0,DAVERAGE(_xlnm.Database,FILESTAT!DA$3,bfy1999_)),0)</f>
        <v>0</v>
      </c>
      <c r="DB96" s="122">
        <f>ROUND(IF(ISERROR(DAVERAGE(_xlnm.Database,FILESTAT!DB$3,bfy1999_)),0,DAVERAGE(_xlnm.Database,FILESTAT!DB$3,bfy1999_)),0)</f>
        <v>0</v>
      </c>
      <c r="DC96" s="122">
        <f>ROUND(IF(ISERROR(DAVERAGE(_xlnm.Database,FILESTAT!DC$3,bfy1999_)),0,DAVERAGE(_xlnm.Database,FILESTAT!DC$3,bfy1999_)),0)</f>
        <v>0</v>
      </c>
      <c r="DD96" s="122">
        <f>ROUND(IF(ISERROR(DAVERAGE(_xlnm.Database,FILESTAT!DD$3,bfy1999_)),0,DAVERAGE(_xlnm.Database,FILESTAT!DD$3,bfy1999_)),0)</f>
        <v>0</v>
      </c>
      <c r="DE96" s="122">
        <f>ROUND(IF(ISERROR(DAVERAGE(_xlnm.Database,FILESTAT!DE$3,bfy1999_)),0,DAVERAGE(_xlnm.Database,FILESTAT!DE$3,bfy1999_)),0)</f>
        <v>0</v>
      </c>
      <c r="DF96" s="122">
        <f>ROUND(IF(ISERROR(DAVERAGE(_xlnm.Database,FILESTAT!DF$3,bfy1999_)),0,DAVERAGE(_xlnm.Database,FILESTAT!DF$3,bfy1999_)),0)</f>
        <v>0</v>
      </c>
      <c r="DG96" s="122">
        <f>ROUND(IF(ISERROR(DAVERAGE(_xlnm.Database,FILESTAT!DG$3,bfy1999_)),0,DAVERAGE(_xlnm.Database,FILESTAT!DG$3,bfy1999_)),0)</f>
        <v>0</v>
      </c>
      <c r="DH96" s="122">
        <f>ROUND(IF(ISERROR(DAVERAGE(_xlnm.Database,FILESTAT!DH$3,bfy1999_)),0,DAVERAGE(_xlnm.Database,FILESTAT!DH$3,bfy1999_)),0)</f>
        <v>0</v>
      </c>
      <c r="DI96" s="122">
        <f>ROUND(IF(ISERROR(DAVERAGE(_xlnm.Database,FILESTAT!DI$3,bfy1999_)),0,DAVERAGE(_xlnm.Database,FILESTAT!DI$3,bfy1999_)),0)</f>
        <v>0</v>
      </c>
      <c r="DJ96" s="122">
        <f>ROUND(IF(ISERROR(DAVERAGE(_xlnm.Database,FILESTAT!DJ$3,bfy1999_)),0,DAVERAGE(_xlnm.Database,FILESTAT!DJ$3,bfy1999_)),0)</f>
        <v>0</v>
      </c>
      <c r="DK96" s="122"/>
      <c r="DL96" s="122">
        <f>ROUND(IF(ISERROR(DAVERAGE(_xlnm.Database,FILESTAT!DL$3,bfy1999_)),0,DAVERAGE(_xlnm.Database,FILESTAT!DL$3,bfy1999_)),0)</f>
        <v>0</v>
      </c>
      <c r="DM96" s="122">
        <f>ROUND(IF(ISERROR(DAVERAGE(_xlnm.Database,FILESTAT!DM$3,bfy1999_)),0,DAVERAGE(_xlnm.Database,FILESTAT!DM$3,bfy1999_)),0)</f>
        <v>0</v>
      </c>
      <c r="DN96" s="122">
        <f>ROUND(IF(ISERROR(DAVERAGE(_xlnm.Database,FILESTAT!DN$3,bfy1999_)),0,DAVERAGE(_xlnm.Database,FILESTAT!DN$3,bfy1999_)),0)</f>
        <v>0</v>
      </c>
      <c r="DO96" s="122">
        <f>ROUND(IF(ISERROR(DAVERAGE(_xlnm.Database,FILESTAT!DO$3,bfy1999_)),0,DAVERAGE(_xlnm.Database,FILESTAT!DO$3,bfy1999_)),0)</f>
        <v>0</v>
      </c>
      <c r="DP96" s="122">
        <f>ROUND(IF(ISERROR(DAVERAGE(_xlnm.Database,FILESTAT!DP$3,bfy1999_)),0,DAVERAGE(_xlnm.Database,FILESTAT!DP$3,bfy1999_)),0)</f>
        <v>0</v>
      </c>
      <c r="DQ96" s="122">
        <f>ROUND(IF(ISERROR(DAVERAGE(_xlnm.Database,FILESTAT!DQ$3,bfy1999_)),0,DAVERAGE(_xlnm.Database,FILESTAT!DQ$3,bfy1999_)),0)</f>
        <v>0</v>
      </c>
      <c r="DR96" s="122"/>
      <c r="DS96" s="122">
        <f>ROUND(IF(ISERROR(DAVERAGE(_xlnm.Database,FILESTAT!DS$3,bfy1999_)),0,DAVERAGE(_xlnm.Database,FILESTAT!DS$3,bfy1999_)),0)</f>
        <v>0</v>
      </c>
      <c r="DT96" s="122">
        <f>ROUND(IF(ISERROR(DAVERAGE(_xlnm.Database,FILESTAT!DT$3,bfy1999_)),0,DAVERAGE(_xlnm.Database,FILESTAT!DT$3,bfy1999_)),0)</f>
        <v>0</v>
      </c>
      <c r="DU96" s="122">
        <f>ROUND(IF(ISERROR(DAVERAGE(_xlnm.Database,FILESTAT!DU$3,bfy1999_)),0,DAVERAGE(_xlnm.Database,FILESTAT!DU$3,bfy1999_)),0)</f>
        <v>0</v>
      </c>
      <c r="DV96" s="127">
        <f t="shared" si="212"/>
        <v>0</v>
      </c>
      <c r="DW96" s="128"/>
    </row>
    <row r="97" spans="1:127" s="111" customFormat="1">
      <c r="A97" s="228">
        <v>2000</v>
      </c>
      <c r="B97" s="24"/>
      <c r="C97" s="121">
        <f>ROUND(IF(ISERROR(DAVERAGE(_xlnm.Database,FILESTAT!C$3,bfy2000_)),0,DAVERAGE(_xlnm.Database,FILESTAT!C$3,bfy2000_)),0)</f>
        <v>2</v>
      </c>
      <c r="D97" s="122">
        <f>ROUND(IF(ISERROR(DAVERAGE(_xlnm.Database,FILESTAT!D$3,bfy2000_)),0,DAVERAGE(_xlnm.Database,FILESTAT!D$3,bfy2000_)),0)</f>
        <v>14</v>
      </c>
      <c r="E97" s="122">
        <f>ROUND(IF(ISERROR(DAVERAGE(_xlnm.Database,FILESTAT!E$3,bfy2000_)),0,DAVERAGE(_xlnm.Database,FILESTAT!E$3,bfy2000_)),0)</f>
        <v>1</v>
      </c>
      <c r="F97" s="122">
        <f>ROUND(IF(ISERROR(DAVERAGE(_xlnm.Database,FILESTAT!F$3,bfy2000_)),0,DAVERAGE(_xlnm.Database,FILESTAT!F$3,bfy2000_)),0)</f>
        <v>1</v>
      </c>
      <c r="G97" s="122">
        <f>ROUND(IF(ISERROR(DAVERAGE(_xlnm.Database,FILESTAT!G$3,bfy2000_)),0,DAVERAGE(_xlnm.Database,FILESTAT!G$3,bfy2000_)),0)</f>
        <v>1</v>
      </c>
      <c r="H97" s="122">
        <f>ROUND(IF(ISERROR(DAVERAGE(_xlnm.Database,FILESTAT!H$3,bfy2000_)),0,DAVERAGE(_xlnm.Database,FILESTAT!H$3,bfy2000_)),0)</f>
        <v>0</v>
      </c>
      <c r="I97" s="122">
        <f>ROUND(IF(ISERROR(DAVERAGE(_xlnm.Database,FILESTAT!I$3,bfy2000_)),0,DAVERAGE(_xlnm.Database,FILESTAT!I$3,bfy2000_)),0)</f>
        <v>0</v>
      </c>
      <c r="J97" s="122">
        <f>ROUND(IF(ISERROR(DAVERAGE(_xlnm.Database,FILESTAT!J$3,bfy2000_)),0,DAVERAGE(_xlnm.Database,FILESTAT!J$3,bfy2000_)),0)</f>
        <v>6</v>
      </c>
      <c r="K97" s="122">
        <f>ROUND(IF(ISERROR(DAVERAGE(_xlnm.Database,FILESTAT!K$3,bfy2000_)),0,DAVERAGE(_xlnm.Database,FILESTAT!K$3,bfy2000_)),0)</f>
        <v>0</v>
      </c>
      <c r="L97" s="122">
        <f>ROUND(IF(ISERROR(DAVERAGE(_xlnm.Database,FILESTAT!L$3,bfy2000_)),0,DAVERAGE(_xlnm.Database,FILESTAT!L$3,bfy2000_)),0)</f>
        <v>0</v>
      </c>
      <c r="M97" s="122">
        <f>ROUND(IF(ISERROR(DAVERAGE(_xlnm.Database,FILESTAT!M$3,bfy2000_)),0,DAVERAGE(_xlnm.Database,FILESTAT!M$3,bfy2000_)),0)</f>
        <v>0</v>
      </c>
      <c r="N97" s="122">
        <f>ROUND(IF(ISERROR(DAVERAGE(_xlnm.Database,FILESTAT!N$3,bfy2000_)),0,DAVERAGE(_xlnm.Database,FILESTAT!N$3,bfy2000_)),0)</f>
        <v>0</v>
      </c>
      <c r="O97" s="122">
        <f>ROUND(IF(ISERROR(DAVERAGE(_xlnm.Database,FILESTAT!O$3,bfy2000_)),0,DAVERAGE(_xlnm.Database,FILESTAT!O$3,bfy2000_)),0)</f>
        <v>9</v>
      </c>
      <c r="P97" s="122">
        <f>ROUND(IF(ISERROR(DAVERAGE(_xlnm.Database,FILESTAT!P$3,bfy2000_)),0,DAVERAGE(_xlnm.Database,FILESTAT!P$3,bfy2000_)),0)</f>
        <v>1</v>
      </c>
      <c r="Q97" s="122">
        <f>ROUND(IF(ISERROR(DAVERAGE(_xlnm.Database,FILESTAT!Q$3,bfy2000_)),0,DAVERAGE(_xlnm.Database,FILESTAT!Q$3,bfy2000_)),0)</f>
        <v>0</v>
      </c>
      <c r="R97" s="122">
        <f>ROUND(IF(ISERROR(DAVERAGE(_xlnm.Database,FILESTAT!R$3,bfy2000_)),0,DAVERAGE(_xlnm.Database,FILESTAT!R$3,bfy2000_)),0)</f>
        <v>0</v>
      </c>
      <c r="S97" s="120">
        <f t="shared" si="211"/>
        <v>35</v>
      </c>
      <c r="T97" s="122">
        <f>ROUND(IF(ISERROR(DAVERAGE(_xlnm.Database,FILESTAT!T$3,bfy2000_)),0,DAVERAGE(_xlnm.Database,FILESTAT!T$3,bfy2000_)),0)</f>
        <v>3</v>
      </c>
      <c r="U97" s="122">
        <f>ROUND(IF(ISERROR(DAVERAGE(_xlnm.Database,FILESTAT!U$3,bfy2000_)),0,DAVERAGE(_xlnm.Database,FILESTAT!U$3,bfy2000_)),0)</f>
        <v>9</v>
      </c>
      <c r="V97" s="122"/>
      <c r="W97" s="122">
        <f>ROUND(IF(ISERROR(DAVERAGE(_xlnm.Database,FILESTAT!W$3,bfy2000_)),0,DAVERAGE(_xlnm.Database,FILESTAT!W$3,bfy2000_)),0)</f>
        <v>0</v>
      </c>
      <c r="X97" s="123">
        <f>ROUND(IF(ISERROR(DAVERAGE(_xlnm.Database,FILESTAT!X$3,bfy2000_)),0,DAVERAGE(_xlnm.Database,FILESTAT!X$3,bfy2000_)),0)</f>
        <v>0</v>
      </c>
      <c r="Z97" s="121">
        <f>ROUND(IF(ISERROR(DAVERAGE(_xlnm.Database,FILESTAT!Z$3,bfy2000_)),0,DAVERAGE(_xlnm.Database,FILESTAT!Z$3,bfy2000_)),0)</f>
        <v>1116691</v>
      </c>
      <c r="AA97" s="122">
        <f>ROUND(IF(ISERROR(DAVERAGE(_xlnm.Database,FILESTAT!AA$3,bfy2000_)),0,DAVERAGE(_xlnm.Database,FILESTAT!AA$3,bfy2000_)),0)</f>
        <v>652231</v>
      </c>
      <c r="AB97" s="122"/>
      <c r="AC97" s="121">
        <f>ROUND(IF(ISERROR(DAVERAGE(_xlnm.Database,FILESTAT!AC$3,bfy2000_)),0,DAVERAGE(_xlnm.Database,FILESTAT!AC$3,bfy2000_)),0)</f>
        <v>599878</v>
      </c>
      <c r="AD97" s="122">
        <f>ROUND(IF(ISERROR(DAVERAGE(_xlnm.Database,FILESTAT!AD$3,bfy2000_)),0,DAVERAGE(_xlnm.Database,FILESTAT!AD$3,bfy2000_)),0)</f>
        <v>929181</v>
      </c>
      <c r="AE97" s="120">
        <f t="shared" si="215"/>
        <v>1529059</v>
      </c>
      <c r="AG97" s="121">
        <f>ROUND(IF(ISERROR(DAVERAGE(_xlnm.Database,FILESTAT!AG$3,bfy2000_)),0,DAVERAGE(_xlnm.Database,FILESTAT!AG$3,bfy2000_)),0)</f>
        <v>67</v>
      </c>
      <c r="AH97" s="122">
        <f>ROUND(IF(ISERROR(DAVERAGE(_xlnm.Database,FILESTAT!AH$3,bfy2000_)),0,DAVERAGE(_xlnm.Database,FILESTAT!AH$3,bfy2000_)),0)</f>
        <v>41</v>
      </c>
      <c r="AI97" s="122">
        <f>ROUND(IF(ISERROR(DAVERAGE(_xlnm.Database,FILESTAT!AI$3,bfy2000_)),0,DAVERAGE(_xlnm.Database,FILESTAT!AI$3,bfy2000_)),0)</f>
        <v>128</v>
      </c>
      <c r="AJ97" s="123">
        <f>ROUND(IF(ISERROR(DAVERAGE(_xlnm.Database,FILESTAT!AJ$3,bfy2000_)),0,DAVERAGE(_xlnm.Database,FILESTAT!AJ$3,bfy2000_)),0)</f>
        <v>23</v>
      </c>
      <c r="AL97" s="121">
        <f>ROUND(IF(ISERROR(DAVERAGE(_xlnm.Database,FILESTAT!AL$3,bfy2000_)),0,DAVERAGE(_xlnm.Database,FILESTAT!AL$3,bfy2000_)),0)</f>
        <v>36</v>
      </c>
      <c r="AM97" s="122">
        <f>ROUND(IF(ISERROR(DAVERAGE(_xlnm.Database,FILESTAT!AM$3,bfy2000_)),0,DAVERAGE(_xlnm.Database,FILESTAT!AM$3,bfy2000_)),0)</f>
        <v>92</v>
      </c>
      <c r="AN97" s="120">
        <f t="shared" si="213"/>
        <v>128</v>
      </c>
      <c r="AO97" s="122">
        <f>ROUND(IF(ISERROR(DAVERAGE(_xlnm.Database,FILESTAT!AO$3,bfy2000_)),0,DAVERAGE(_xlnm.Database,FILESTAT!AO$3,bfy2000_)),0)</f>
        <v>90</v>
      </c>
      <c r="AP97" s="122">
        <f>ROUND(IF(ISERROR(DAVERAGE(_xlnm.Database,FILESTAT!AP$3,bfy2000_)),0,DAVERAGE(_xlnm.Database,FILESTAT!AP$3,bfy2000_)),0)</f>
        <v>13</v>
      </c>
      <c r="AQ97" s="120">
        <f t="shared" si="214"/>
        <v>103</v>
      </c>
      <c r="AR97" s="122">
        <f>ROUND(IF(ISERROR(DAVERAGE(_xlnm.Database,FILESTAT!AR$3,bfy2000_)),0,DAVERAGE(_xlnm.Database,FILESTAT!AR$3,bfy2000_)),0)</f>
        <v>0</v>
      </c>
      <c r="AS97" s="122">
        <f>ROUND(IF(ISERROR(DAVERAGE(_xlnm.Database,FILESTAT!AS$3,bfy2000_)),0,DAVERAGE(_xlnm.Database,FILESTAT!AS$3,bfy2000_)),0)</f>
        <v>5</v>
      </c>
      <c r="AT97" s="122">
        <f>ROUND(IF(ISERROR(DAVERAGE(_xlnm.Database,FILESTAT!AT$3,bfy2000_)),0,DAVERAGE(_xlnm.Database,FILESTAT!AT$3,bfy2000_)),0)</f>
        <v>8</v>
      </c>
      <c r="AU97" s="122">
        <f>ROUND(IF(ISERROR(DAVERAGE(_xlnm.Database,FILESTAT!AU$3,bfy2000_)),0,DAVERAGE(_xlnm.Database,FILESTAT!AU$3,bfy2000_)),0)</f>
        <v>0</v>
      </c>
      <c r="AV97" s="123">
        <f>ROUND(IF(ISERROR(DAVERAGE(_xlnm.Database,FILESTAT!AV$3,bfy2000_)),0,DAVERAGE(_xlnm.Database,FILESTAT!AV$3,bfy2000_)),0)</f>
        <v>14</v>
      </c>
      <c r="AW97"/>
      <c r="AX97" s="356"/>
      <c r="AY97"/>
      <c r="BA97" s="121">
        <f>ROUND(IF(ISERROR(DAVERAGE(_xlnm.Database,FILESTAT!BA$3,bfy2000_)),0,DAVERAGE(_xlnm.Database,FILESTAT!BA$3,bfy2000_)),0)</f>
        <v>1684</v>
      </c>
      <c r="BB97" s="122">
        <f>ROUND(IF(ISERROR(DAVERAGE(_xlnm.Database,FILESTAT!BB$3,bfy2000_)),0,DAVERAGE(_xlnm.Database,FILESTAT!BB$3,bfy2000_)),0)</f>
        <v>27938841</v>
      </c>
      <c r="BC97" s="122">
        <f>ROUND(IF(ISERROR(DAVERAGE(_xlnm.Database,FILESTAT!BC$3,bfy2000_)),0,DAVERAGE(_xlnm.Database,FILESTAT!BC$3,bfy2000_)),0)</f>
        <v>0</v>
      </c>
      <c r="BD97" s="122"/>
      <c r="BE97" s="122">
        <f>ROUND(IF(ISERROR(DAVERAGE(_xlnm.Database,FILESTAT!BE$3,bfy2000_)),0,DAVERAGE(_xlnm.Database,FILESTAT!BE$3,bfy2000_)),0)</f>
        <v>53</v>
      </c>
      <c r="BF97" s="122">
        <f>ROUND(IF(ISERROR(DAVERAGE(_xlnm.Database,FILESTAT!BF$3,bfy2000_)),0,DAVERAGE(_xlnm.Database,FILESTAT!BF$3,bfy2000_)),0)</f>
        <v>5</v>
      </c>
      <c r="BG97" s="122">
        <f>ROUND(IF(ISERROR(DAVERAGE(_xlnm.Database,FILESTAT!BG$3,bfy2000_)),0,DAVERAGE(_xlnm.Database,FILESTAT!BG$3,bfy2000_)),0)</f>
        <v>2</v>
      </c>
      <c r="BH97" s="122"/>
      <c r="BI97" s="122">
        <f>ROUND(IF(ISERROR(DAVERAGE(_xlnm.Database,FILESTAT!BI$3,bfy2000_)),0,DAVERAGE(_xlnm.Database,FILESTAT!BI$3,bfy2000_)),0)</f>
        <v>1505343</v>
      </c>
      <c r="BJ97" s="122"/>
      <c r="BK97" s="122"/>
      <c r="BL97" s="122"/>
      <c r="BM97" s="123">
        <f>ROUND(IF(ISERROR(DAVERAGE(_xlnm.Database,FILESTAT!BM$3,bfy2000_)),0,DAVERAGE(_xlnm.Database,FILESTAT!BM$3,bfy2000_)),0)</f>
        <v>4109</v>
      </c>
      <c r="BO97" s="121">
        <f>ROUND(IF(ISERROR(DAVERAGE(_xlnm.Database,FILESTAT!BO$3,bfy2000_)),0,DAVERAGE(_xlnm.Database,FILESTAT!BO$3,bfy2000_)),0)</f>
        <v>0</v>
      </c>
      <c r="BP97" s="123">
        <f>ROUND(IF(ISERROR(DAVERAGE(_xlnm.Database,FILESTAT!BP$3,bfy2000_)),0,DAVERAGE(_xlnm.Database,FILESTAT!BP$3,bfy2000_)),0)</f>
        <v>156</v>
      </c>
      <c r="BR97" s="252"/>
      <c r="BS97" s="179"/>
      <c r="BT97" s="251"/>
      <c r="BV97" s="121">
        <f>ROUND(IF(ISERROR(DAVERAGE(_xlnm.Database,FILESTAT!BV$3,bfy2000_)),0,DAVERAGE(_xlnm.Database,FILESTAT!BV$3,bfy2000_)),0)</f>
        <v>0</v>
      </c>
      <c r="BW97" s="122">
        <f>ROUND(IF(ISERROR(DAVERAGE(_xlnm.Database,FILESTAT!BW$3,bfy2000_)),0,DAVERAGE(_xlnm.Database,FILESTAT!BW$3,bfy2000_)),0)</f>
        <v>0</v>
      </c>
      <c r="BX97" s="122">
        <f>ROUND(IF(ISERROR(DAVERAGE(_xlnm.Database,FILESTAT!BX$3,bfy2000_)),0,DAVERAGE(_xlnm.Database,FILESTAT!BX$3,bfy2000_)),0)</f>
        <v>0</v>
      </c>
      <c r="BY97" s="122">
        <f>ROUND(IF(ISERROR(DAVERAGE(_xlnm.Database,FILESTAT!BY$3,bfy2000_)),0,DAVERAGE(_xlnm.Database,FILESTAT!BY$3,bfy2000_)),0)</f>
        <v>0</v>
      </c>
      <c r="BZ97" s="122">
        <f>ROUND(IF(ISERROR(DAVERAGE(_xlnm.Database,FILESTAT!BZ$3,bfy2000_)),0,DAVERAGE(_xlnm.Database,FILESTAT!BZ$3,bfy2000_)),0)</f>
        <v>0</v>
      </c>
      <c r="CA97" s="122">
        <f>ROUND(IF(ISERROR(DAVERAGE(_xlnm.Database,FILESTAT!CA$3,bfy2000_)),0,DAVERAGE(_xlnm.Database,FILESTAT!CA$3,bfy2000_)),0)</f>
        <v>0</v>
      </c>
      <c r="CB97" s="122">
        <f>ROUND(IF(ISERROR(DAVERAGE(_xlnm.Database,FILESTAT!CB$3,bfy2000_)),0,DAVERAGE(_xlnm.Database,FILESTAT!CB$3,bfy2000_)),0)</f>
        <v>0</v>
      </c>
      <c r="CC97" s="122"/>
      <c r="CD97" s="122">
        <f>ROUND(IF(ISERROR(DAVERAGE(_xlnm.Database,FILESTAT!CD$3,bfy2000_)),0,DAVERAGE(_xlnm.Database,FILESTAT!CD$3,bfy2000_)),0)</f>
        <v>0</v>
      </c>
      <c r="CE97" s="122">
        <f>ROUND(IF(ISERROR(DAVERAGE(_xlnm.Database,FILESTAT!CE$3,bfy2000_)),0,DAVERAGE(_xlnm.Database,FILESTAT!CE$3,bfy2000_)),0)</f>
        <v>0</v>
      </c>
      <c r="CF97" s="122">
        <f>ROUND(IF(ISERROR(DAVERAGE(_xlnm.Database,FILESTAT!CF$3,bfy2000_)),0,DAVERAGE(_xlnm.Database,FILESTAT!CF$3,bfy2000_)),0)</f>
        <v>0</v>
      </c>
      <c r="CG97" s="122">
        <f>ROUND(IF(ISERROR(DAVERAGE(_xlnm.Database,FILESTAT!CG$3,bfy2000_)),0,DAVERAGE(_xlnm.Database,FILESTAT!CG$3,bfy2000_)),0)</f>
        <v>0</v>
      </c>
      <c r="CH97" s="122">
        <f>ROUND(IF(ISERROR(DAVERAGE(_xlnm.Database,FILESTAT!CH$3,bfy2000_)),0,DAVERAGE(_xlnm.Database,FILESTAT!CH$3,bfy2000_)),0)</f>
        <v>0</v>
      </c>
      <c r="CI97" s="122">
        <f>ROUND(IF(ISERROR(DAVERAGE(_xlnm.Database,FILESTAT!CI$3,bfy2000_)),0,DAVERAGE(_xlnm.Database,FILESTAT!CI$3,bfy2000_)),0)</f>
        <v>0</v>
      </c>
      <c r="CJ97" s="122">
        <f>ROUND(IF(ISERROR(DAVERAGE(_xlnm.Database,FILESTAT!CJ$3,bfy2000_)),0,DAVERAGE(_xlnm.Database,FILESTAT!CJ$3,bfy2000_)),0)</f>
        <v>0</v>
      </c>
      <c r="CK97" s="122"/>
      <c r="CL97" s="122"/>
      <c r="CM97" s="122">
        <f>ROUND(IF(ISERROR(DAVERAGE(_xlnm.Database,FILESTAT!CM$3,bfy2000_)),0,DAVERAGE(_xlnm.Database,FILESTAT!CM$3,bfy2000_)),0)</f>
        <v>0</v>
      </c>
      <c r="CN97" s="122">
        <f>ROUND(IF(ISERROR(DAVERAGE(_xlnm.Database,FILESTAT!CN$3,bfy2000_)),0,DAVERAGE(_xlnm.Database,FILESTAT!CN$3,bfy2000_)),0)</f>
        <v>0</v>
      </c>
      <c r="CO97" s="122">
        <f>ROUND(IF(ISERROR(DAVERAGE(_xlnm.Database,FILESTAT!CO$3,bfy2000_)),0,DAVERAGE(_xlnm.Database,FILESTAT!CO$3,bfy2000_)),0)</f>
        <v>0</v>
      </c>
      <c r="CP97" s="122"/>
      <c r="CQ97" s="122">
        <f>ROUND(IF(ISERROR(DAVERAGE(_xlnm.Database,FILESTAT!CQ$3,bfy2000_)),0,DAVERAGE(_xlnm.Database,FILESTAT!CQ$3,bfy2000_)),0)</f>
        <v>0</v>
      </c>
      <c r="CR97" s="122"/>
      <c r="CS97" s="122">
        <f>ROUND(IF(ISERROR(DAVERAGE(_xlnm.Database,FILESTAT!CS$3,bfy2000_)),0,DAVERAGE(_xlnm.Database,FILESTAT!CS$3,bfy2000_)),0)</f>
        <v>0</v>
      </c>
      <c r="CT97" s="122">
        <f>ROUND(IF(ISERROR(DAVERAGE(_xlnm.Database,FILESTAT!CT$3,bfy2000_)),0,DAVERAGE(_xlnm.Database,FILESTAT!CT$3,bfy2000_)),0)</f>
        <v>0</v>
      </c>
      <c r="CU97" s="122">
        <f>ROUND(IF(ISERROR(DAVERAGE(_xlnm.Database,FILESTAT!CU$3,bfy2000_)),0,DAVERAGE(_xlnm.Database,FILESTAT!CU$3,bfy2000_)),0)</f>
        <v>0</v>
      </c>
      <c r="CV97" s="122">
        <f>ROUND(IF(ISERROR(DAVERAGE(_xlnm.Database,FILESTAT!CV$3,bfy2000_)),0,DAVERAGE(_xlnm.Database,FILESTAT!CV$3,bfy2000_)),0)</f>
        <v>0</v>
      </c>
      <c r="CW97" s="122">
        <f>ROUND(IF(ISERROR(DAVERAGE(_xlnm.Database,FILESTAT!CW$3,bfy2000_)),0,DAVERAGE(_xlnm.Database,FILESTAT!CW$3,bfy2000_)),0)</f>
        <v>0</v>
      </c>
      <c r="CX97" s="122"/>
      <c r="CY97" s="122">
        <f>ROUND(IF(ISERROR(DAVERAGE(_xlnm.Database,FILESTAT!CY$3,bfy2000_)),0,DAVERAGE(_xlnm.Database,FILESTAT!CY$3,bfy2000_)),0)</f>
        <v>0</v>
      </c>
      <c r="CZ97" s="122">
        <f>ROUND(IF(ISERROR(DAVERAGE(_xlnm.Database,FILESTAT!CZ$3,bfy2000_)),0,DAVERAGE(_xlnm.Database,FILESTAT!CZ$3,bfy2000_)),0)</f>
        <v>0</v>
      </c>
      <c r="DA97" s="122">
        <f>ROUND(IF(ISERROR(DAVERAGE(_xlnm.Database,FILESTAT!DA$3,bfy2000_)),0,DAVERAGE(_xlnm.Database,FILESTAT!DA$3,bfy2000_)),0)</f>
        <v>0</v>
      </c>
      <c r="DB97" s="122">
        <f>ROUND(IF(ISERROR(DAVERAGE(_xlnm.Database,FILESTAT!DB$3,bfy2000_)),0,DAVERAGE(_xlnm.Database,FILESTAT!DB$3,bfy2000_)),0)</f>
        <v>0</v>
      </c>
      <c r="DC97" s="122">
        <f>ROUND(IF(ISERROR(DAVERAGE(_xlnm.Database,FILESTAT!DC$3,bfy2000_)),0,DAVERAGE(_xlnm.Database,FILESTAT!DC$3,bfy2000_)),0)</f>
        <v>0</v>
      </c>
      <c r="DD97" s="122">
        <f>ROUND(IF(ISERROR(DAVERAGE(_xlnm.Database,FILESTAT!DD$3,bfy2000_)),0,DAVERAGE(_xlnm.Database,FILESTAT!DD$3,bfy2000_)),0)</f>
        <v>0</v>
      </c>
      <c r="DE97" s="122">
        <f>ROUND(IF(ISERROR(DAVERAGE(_xlnm.Database,FILESTAT!DE$3,bfy2000_)),0,DAVERAGE(_xlnm.Database,FILESTAT!DE$3,bfy2000_)),0)</f>
        <v>0</v>
      </c>
      <c r="DF97" s="122">
        <f>ROUND(IF(ISERROR(DAVERAGE(_xlnm.Database,FILESTAT!DF$3,bfy2000_)),0,DAVERAGE(_xlnm.Database,FILESTAT!DF$3,bfy2000_)),0)</f>
        <v>0</v>
      </c>
      <c r="DG97" s="122">
        <f>ROUND(IF(ISERROR(DAVERAGE(_xlnm.Database,FILESTAT!DG$3,bfy2000_)),0,DAVERAGE(_xlnm.Database,FILESTAT!DG$3,bfy2000_)),0)</f>
        <v>0</v>
      </c>
      <c r="DH97" s="122">
        <f>ROUND(IF(ISERROR(DAVERAGE(_xlnm.Database,FILESTAT!DH$3,bfy2000_)),0,DAVERAGE(_xlnm.Database,FILESTAT!DH$3,bfy2000_)),0)</f>
        <v>0</v>
      </c>
      <c r="DI97" s="122">
        <f>ROUND(IF(ISERROR(DAVERAGE(_xlnm.Database,FILESTAT!DI$3,bfy2000_)),0,DAVERAGE(_xlnm.Database,FILESTAT!DI$3,bfy2000_)),0)</f>
        <v>0</v>
      </c>
      <c r="DJ97" s="122">
        <f>ROUND(IF(ISERROR(DAVERAGE(_xlnm.Database,FILESTAT!DJ$3,bfy2000_)),0,DAVERAGE(_xlnm.Database,FILESTAT!DJ$3,bfy2000_)),0)</f>
        <v>0</v>
      </c>
      <c r="DK97" s="122"/>
      <c r="DL97" s="122">
        <f>ROUND(IF(ISERROR(DAVERAGE(_xlnm.Database,FILESTAT!DL$3,bfy2000_)),0,DAVERAGE(_xlnm.Database,FILESTAT!DL$3,bfy2000_)),0)</f>
        <v>0</v>
      </c>
      <c r="DM97" s="122">
        <f>ROUND(IF(ISERROR(DAVERAGE(_xlnm.Database,FILESTAT!DM$3,bfy2000_)),0,DAVERAGE(_xlnm.Database,FILESTAT!DM$3,bfy2000_)),0)</f>
        <v>0</v>
      </c>
      <c r="DN97" s="122">
        <f>ROUND(IF(ISERROR(DAVERAGE(_xlnm.Database,FILESTAT!DN$3,bfy2000_)),0,DAVERAGE(_xlnm.Database,FILESTAT!DN$3,bfy2000_)),0)</f>
        <v>0</v>
      </c>
      <c r="DO97" s="122">
        <f>ROUND(IF(ISERROR(DAVERAGE(_xlnm.Database,FILESTAT!DO$3,bfy2000_)),0,DAVERAGE(_xlnm.Database,FILESTAT!DO$3,bfy2000_)),0)</f>
        <v>0</v>
      </c>
      <c r="DP97" s="122">
        <f>ROUND(IF(ISERROR(DAVERAGE(_xlnm.Database,FILESTAT!DP$3,bfy2000_)),0,DAVERAGE(_xlnm.Database,FILESTAT!DP$3,bfy2000_)),0)</f>
        <v>0</v>
      </c>
      <c r="DQ97" s="122">
        <f>ROUND(IF(ISERROR(DAVERAGE(_xlnm.Database,FILESTAT!DQ$3,bfy2000_)),0,DAVERAGE(_xlnm.Database,FILESTAT!DQ$3,bfy2000_)),0)</f>
        <v>0</v>
      </c>
      <c r="DR97" s="122"/>
      <c r="DS97" s="122">
        <f>ROUND(IF(ISERROR(DAVERAGE(_xlnm.Database,FILESTAT!DS$3,bfy2000_)),0,DAVERAGE(_xlnm.Database,FILESTAT!DS$3,bfy2000_)),0)</f>
        <v>0</v>
      </c>
      <c r="DT97" s="122">
        <f>ROUND(IF(ISERROR(DAVERAGE(_xlnm.Database,FILESTAT!DT$3,bfy2000_)),0,DAVERAGE(_xlnm.Database,FILESTAT!DT$3,bfy2000_)),0)</f>
        <v>0</v>
      </c>
      <c r="DU97" s="122">
        <f>ROUND(IF(ISERROR(DAVERAGE(_xlnm.Database,FILESTAT!DU$3,bfy2000_)),0,DAVERAGE(_xlnm.Database,FILESTAT!DU$3,bfy2000_)),0)</f>
        <v>0</v>
      </c>
      <c r="DV97" s="127">
        <f t="shared" si="212"/>
        <v>0</v>
      </c>
      <c r="DW97" s="128"/>
    </row>
    <row r="98" spans="1:127" s="111" customFormat="1">
      <c r="A98" s="228">
        <v>2001</v>
      </c>
      <c r="B98" s="24"/>
      <c r="C98" s="121">
        <f>ROUND(IF(ISERROR(DAVERAGE(_xlnm.Database,FILESTAT!C$3,bfy2001_)),0,DAVERAGE(_xlnm.Database,FILESTAT!C$3,bfy2001_)),0)</f>
        <v>3</v>
      </c>
      <c r="D98" s="122">
        <f>ROUND(IF(ISERROR(DAVERAGE(_xlnm.Database,FILESTAT!D$3,bfy2001_)),0,DAVERAGE(_xlnm.Database,FILESTAT!D$3,bfy2001_)),0)</f>
        <v>16</v>
      </c>
      <c r="E98" s="122">
        <f>ROUND(IF(ISERROR(DAVERAGE(_xlnm.Database,FILESTAT!E$3,bfy2001_)),0,DAVERAGE(_xlnm.Database,FILESTAT!E$3,bfy2001_)),0)</f>
        <v>2</v>
      </c>
      <c r="F98" s="122">
        <f>ROUND(IF(ISERROR(DAVERAGE(_xlnm.Database,FILESTAT!F$3,bfy2001_)),0,DAVERAGE(_xlnm.Database,FILESTAT!F$3,bfy2001_)),0)</f>
        <v>0</v>
      </c>
      <c r="G98" s="122">
        <f>ROUND(IF(ISERROR(DAVERAGE(_xlnm.Database,FILESTAT!G$3,bfy2001_)),0,DAVERAGE(_xlnm.Database,FILESTAT!G$3,bfy2001_)),0)</f>
        <v>2</v>
      </c>
      <c r="H98" s="122">
        <f>ROUND(IF(ISERROR(DAVERAGE(_xlnm.Database,FILESTAT!H$3,bfy2001_)),0,DAVERAGE(_xlnm.Database,FILESTAT!H$3,bfy2001_)),0)</f>
        <v>1</v>
      </c>
      <c r="I98" s="122">
        <f>ROUND(IF(ISERROR(DAVERAGE(_xlnm.Database,FILESTAT!I$3,bfy2001_)),0,DAVERAGE(_xlnm.Database,FILESTAT!I$3,bfy2001_)),0)</f>
        <v>0</v>
      </c>
      <c r="J98" s="122">
        <f>ROUND(IF(ISERROR(DAVERAGE(_xlnm.Database,FILESTAT!J$3,bfy2001_)),0,DAVERAGE(_xlnm.Database,FILESTAT!J$3,bfy2001_)),0)</f>
        <v>6</v>
      </c>
      <c r="K98" s="122">
        <f>ROUND(IF(ISERROR(DAVERAGE(_xlnm.Database,FILESTAT!K$3,bfy2001_)),0,DAVERAGE(_xlnm.Database,FILESTAT!K$3,bfy2001_)),0)</f>
        <v>0</v>
      </c>
      <c r="L98" s="122">
        <f>ROUND(IF(ISERROR(DAVERAGE(_xlnm.Database,FILESTAT!L$3,bfy2001_)),0,DAVERAGE(_xlnm.Database,FILESTAT!L$3,bfy2001_)),0)</f>
        <v>0</v>
      </c>
      <c r="M98" s="122">
        <f>ROUND(IF(ISERROR(DAVERAGE(_xlnm.Database,FILESTAT!M$3,bfy2001_)),0,DAVERAGE(_xlnm.Database,FILESTAT!M$3,bfy2001_)),0)</f>
        <v>0</v>
      </c>
      <c r="N98" s="122">
        <f>ROUND(IF(ISERROR(DAVERAGE(_xlnm.Database,FILESTAT!N$3,bfy2001_)),0,DAVERAGE(_xlnm.Database,FILESTAT!N$3,bfy2001_)),0)</f>
        <v>0</v>
      </c>
      <c r="O98" s="122">
        <f>ROUND(IF(ISERROR(DAVERAGE(_xlnm.Database,FILESTAT!O$3,bfy2001_)),0,DAVERAGE(_xlnm.Database,FILESTAT!O$3,bfy2001_)),0)</f>
        <v>9</v>
      </c>
      <c r="P98" s="122">
        <f>ROUND(IF(ISERROR(DAVERAGE(_xlnm.Database,FILESTAT!P$3,bfy2001_)),0,DAVERAGE(_xlnm.Database,FILESTAT!P$3,bfy2001_)),0)</f>
        <v>1</v>
      </c>
      <c r="Q98" s="122">
        <f>ROUND(IF(ISERROR(DAVERAGE(_xlnm.Database,FILESTAT!Q$3,bfy2001_)),0,DAVERAGE(_xlnm.Database,FILESTAT!Q$3,bfy2001_)),0)</f>
        <v>0</v>
      </c>
      <c r="R98" s="123">
        <f>ROUND(IF(ISERROR(DAVERAGE(_xlnm.Database,FILESTAT!R$3,bfy2001_)),0,DAVERAGE(_xlnm.Database,FILESTAT!R$3,bfy2001_)),0)</f>
        <v>0</v>
      </c>
      <c r="S98" s="120">
        <f t="shared" si="211"/>
        <v>40</v>
      </c>
      <c r="T98" s="122">
        <f>ROUND(IF(ISERROR(DAVERAGE(_xlnm.Database,FILESTAT!T$3,bfy2001_)),0,DAVERAGE(_xlnm.Database,FILESTAT!T$3,bfy2001_)),0)</f>
        <v>7</v>
      </c>
      <c r="U98" s="122">
        <f>ROUND(IF(ISERROR(DAVERAGE(_xlnm.Database,FILESTAT!U$3,bfy2001_)),0,DAVERAGE(_xlnm.Database,FILESTAT!U$3,bfy2001_)),0)</f>
        <v>8</v>
      </c>
      <c r="V98" s="122"/>
      <c r="W98" s="122">
        <f>ROUND(IF(ISERROR(DAVERAGE(_xlnm.Database,FILESTAT!W$3,bfy2001_)),0,DAVERAGE(_xlnm.Database,FILESTAT!W$3,bfy2001_)),0)</f>
        <v>0</v>
      </c>
      <c r="X98" s="123">
        <f>ROUND(IF(ISERROR(DAVERAGE(_xlnm.Database,FILESTAT!X$3,bfy2001_)),0,DAVERAGE(_xlnm.Database,FILESTAT!X$3,bfy2001_)),0)</f>
        <v>0</v>
      </c>
      <c r="Z98" s="121">
        <f>ROUND(IF(ISERROR(DAVERAGE(_xlnm.Database,FILESTAT!Z$3,bfy2001_)),0,DAVERAGE(_xlnm.Database,FILESTAT!Z$3,bfy2001_)),0)</f>
        <v>1140760</v>
      </c>
      <c r="AA98" s="122">
        <f>ROUND(IF(ISERROR(DAVERAGE(_xlnm.Database,FILESTAT!AA$3,bfy2001_)),0,DAVERAGE(_xlnm.Database,FILESTAT!AA$3,bfy2001_)),0)</f>
        <v>782496</v>
      </c>
      <c r="AB98" s="122"/>
      <c r="AC98" s="121">
        <f>ROUND(IF(ISERROR(DAVERAGE(_xlnm.Database,FILESTAT!AC$3,bfy2001_)),0,DAVERAGE(_xlnm.Database,FILESTAT!AC$3,bfy2001_)),0)</f>
        <v>710066</v>
      </c>
      <c r="AD98" s="122">
        <f>ROUND(IF(ISERROR(DAVERAGE(_xlnm.Database,FILESTAT!AD$3,bfy2001_)),0,DAVERAGE(_xlnm.Database,FILESTAT!AD$3,bfy2001_)),0)</f>
        <v>1004299</v>
      </c>
      <c r="AE98" s="120">
        <f t="shared" si="215"/>
        <v>1714365</v>
      </c>
      <c r="AG98" s="121">
        <f>ROUND(IF(ISERROR(DAVERAGE(_xlnm.Database,FILESTAT!AG$3,bfy2001_)),0,DAVERAGE(_xlnm.Database,FILESTAT!AG$3,bfy2001_)),0)</f>
        <v>77</v>
      </c>
      <c r="AH98" s="122">
        <f>ROUND(IF(ISERROR(DAVERAGE(_xlnm.Database,FILESTAT!AH$3,bfy2001_)),0,DAVERAGE(_xlnm.Database,FILESTAT!AH$3,bfy2001_)),0)</f>
        <v>39</v>
      </c>
      <c r="AI98" s="122">
        <f>ROUND(IF(ISERROR(DAVERAGE(_xlnm.Database,FILESTAT!AI$3,bfy2001_)),0,DAVERAGE(_xlnm.Database,FILESTAT!AI$3,bfy2001_)),0)</f>
        <v>132</v>
      </c>
      <c r="AJ98" s="123">
        <f>ROUND(IF(ISERROR(DAVERAGE(_xlnm.Database,FILESTAT!AJ$3,bfy2001_)),0,DAVERAGE(_xlnm.Database,FILESTAT!AJ$3,bfy2001_)),0)</f>
        <v>25</v>
      </c>
      <c r="AL98" s="121">
        <f>ROUND(IF(ISERROR(DAVERAGE(_xlnm.Database,FILESTAT!AL$3,bfy2001_)),0,DAVERAGE(_xlnm.Database,FILESTAT!AL$3,bfy2001_)),0)</f>
        <v>34</v>
      </c>
      <c r="AM98" s="122">
        <f>ROUND(IF(ISERROR(DAVERAGE(_xlnm.Database,FILESTAT!AM$3,bfy2001_)),0,DAVERAGE(_xlnm.Database,FILESTAT!AM$3,bfy2001_)),0)</f>
        <v>81</v>
      </c>
      <c r="AN98" s="120">
        <f t="shared" si="213"/>
        <v>115</v>
      </c>
      <c r="AO98" s="122">
        <f>ROUND(IF(ISERROR(DAVERAGE(_xlnm.Database,FILESTAT!AO$3,bfy2001_)),0,DAVERAGE(_xlnm.Database,FILESTAT!AO$3,bfy2001_)),0)</f>
        <v>66</v>
      </c>
      <c r="AP98" s="122">
        <f>ROUND(IF(ISERROR(DAVERAGE(_xlnm.Database,FILESTAT!AP$3,bfy2001_)),0,DAVERAGE(_xlnm.Database,FILESTAT!AP$3,bfy2001_)),0)</f>
        <v>9</v>
      </c>
      <c r="AQ98" s="120">
        <f t="shared" si="214"/>
        <v>75</v>
      </c>
      <c r="AR98" s="122">
        <f>ROUND(IF(ISERROR(DAVERAGE(_xlnm.Database,FILESTAT!AR$3,bfy2001_)),0,DAVERAGE(_xlnm.Database,FILESTAT!AR$3,bfy2001_)),0)</f>
        <v>105</v>
      </c>
      <c r="AS98" s="122">
        <f>ROUND(IF(ISERROR(DAVERAGE(_xlnm.Database,FILESTAT!AS$3,bfy2001_)),0,DAVERAGE(_xlnm.Database,FILESTAT!AS$3,bfy2001_)),0)</f>
        <v>55</v>
      </c>
      <c r="AT98" s="122">
        <f>ROUND(IF(ISERROR(DAVERAGE(_xlnm.Database,FILESTAT!AT$3,bfy2001_)),0,DAVERAGE(_xlnm.Database,FILESTAT!AT$3,bfy2001_)),0)</f>
        <v>122</v>
      </c>
      <c r="AU98" s="122">
        <f>ROUND(IF(ISERROR(DAVERAGE(_xlnm.Database,FILESTAT!AU$3,bfy2001_)),0,DAVERAGE(_xlnm.Database,FILESTAT!AU$3,bfy2001_)),0)</f>
        <v>34</v>
      </c>
      <c r="AV98" s="123">
        <f>ROUND(IF(ISERROR(DAVERAGE(_xlnm.Database,FILESTAT!AV$3,bfy2001_)),0,DAVERAGE(_xlnm.Database,FILESTAT!AV$3,bfy2001_)),0)</f>
        <v>212</v>
      </c>
      <c r="AW98"/>
      <c r="AX98" s="356"/>
      <c r="AY98"/>
      <c r="BA98" s="121">
        <f>ROUND(IF(ISERROR(DAVERAGE(_xlnm.Database,FILESTAT!BA$3,bfy2001_)),0,DAVERAGE(_xlnm.Database,FILESTAT!BA$3,bfy2001_)),0)</f>
        <v>1698</v>
      </c>
      <c r="BB98" s="122">
        <f>ROUND(IF(ISERROR(DAVERAGE(_xlnm.Database,FILESTAT!BB$3,bfy2001_)),0,DAVERAGE(_xlnm.Database,FILESTAT!BB$3,bfy2001_)),0)</f>
        <v>34783581</v>
      </c>
      <c r="BC98" s="122">
        <f>ROUND(IF(ISERROR(DAVERAGE(_xlnm.Database,FILESTAT!BC$3,bfy2001_)),0,DAVERAGE(_xlnm.Database,FILESTAT!BC$3,bfy2001_)),0)</f>
        <v>0</v>
      </c>
      <c r="BD98" s="122"/>
      <c r="BE98" s="122">
        <f>ROUND(IF(ISERROR(DAVERAGE(_xlnm.Database,FILESTAT!BE$3,bfy2001_)),0,DAVERAGE(_xlnm.Database,FILESTAT!BE$3,bfy2001_)),0)</f>
        <v>54</v>
      </c>
      <c r="BF98" s="122">
        <f>ROUND(IF(ISERROR(DAVERAGE(_xlnm.Database,FILESTAT!BF$3,bfy2001_)),0,DAVERAGE(_xlnm.Database,FILESTAT!BF$3,bfy2001_)),0)</f>
        <v>4</v>
      </c>
      <c r="BG98" s="122">
        <f>ROUND(IF(ISERROR(DAVERAGE(_xlnm.Database,FILESTAT!BG$3,bfy2001_)),0,DAVERAGE(_xlnm.Database,FILESTAT!BG$3,bfy2001_)),0)</f>
        <v>4</v>
      </c>
      <c r="BH98" s="122"/>
      <c r="BI98" s="122">
        <f>ROUND(IF(ISERROR(DAVERAGE(_xlnm.Database,FILESTAT!BI$3,bfy2001_)),0,DAVERAGE(_xlnm.Database,FILESTAT!BI$3,bfy2001_)),0)</f>
        <v>1788553</v>
      </c>
      <c r="BJ98" s="122"/>
      <c r="BK98" s="122"/>
      <c r="BL98" s="122"/>
      <c r="BM98" s="123">
        <f>ROUND(IF(ISERROR(DAVERAGE(_xlnm.Database,FILESTAT!BM$3,bfy2001_)),0,DAVERAGE(_xlnm.Database,FILESTAT!BM$3,bfy2001_)),0)</f>
        <v>4168</v>
      </c>
      <c r="BO98" s="121">
        <f>ROUND(IF(ISERROR(DAVERAGE(_xlnm.Database,FILESTAT!BO$3,bfy2001_)),0,DAVERAGE(_xlnm.Database,FILESTAT!BO$3,bfy2001_)),0)</f>
        <v>0</v>
      </c>
      <c r="BP98" s="123">
        <f>ROUND(IF(ISERROR(DAVERAGE(_xlnm.Database,FILESTAT!BP$3,bfy2001_)),0,DAVERAGE(_xlnm.Database,FILESTAT!BP$3,bfy2001_)),0)</f>
        <v>158</v>
      </c>
      <c r="BR98" s="252"/>
      <c r="BS98" s="179"/>
      <c r="BT98" s="251"/>
      <c r="BV98" s="121">
        <f>ROUND(IF(ISERROR(DAVERAGE(_xlnm.Database,FILESTAT!BV$3,bfy2001_)),0,DAVERAGE(_xlnm.Database,FILESTAT!BV$3,bfy2001_)),0)</f>
        <v>0</v>
      </c>
      <c r="BW98" s="122">
        <f>ROUND(IF(ISERROR(DAVERAGE(_xlnm.Database,FILESTAT!BW$3,bfy2001_)),0,DAVERAGE(_xlnm.Database,FILESTAT!BW$3,bfy2001_)),0)</f>
        <v>0</v>
      </c>
      <c r="BX98" s="122">
        <f>ROUND(IF(ISERROR(DAVERAGE(_xlnm.Database,FILESTAT!BX$3,bfy2001_)),0,DAVERAGE(_xlnm.Database,FILESTAT!BX$3,bfy2001_)),0)</f>
        <v>0</v>
      </c>
      <c r="BY98" s="122">
        <f>ROUND(IF(ISERROR(DAVERAGE(_xlnm.Database,FILESTAT!BY$3,bfy2001_)),0,DAVERAGE(_xlnm.Database,FILESTAT!BY$3,bfy2001_)),0)</f>
        <v>0</v>
      </c>
      <c r="BZ98" s="122">
        <f>ROUND(IF(ISERROR(DAVERAGE(_xlnm.Database,FILESTAT!BZ$3,bfy2001_)),0,DAVERAGE(_xlnm.Database,FILESTAT!BZ$3,bfy2001_)),0)</f>
        <v>0</v>
      </c>
      <c r="CA98" s="122">
        <f>ROUND(IF(ISERROR(DAVERAGE(_xlnm.Database,FILESTAT!CA$3,bfy2001_)),0,DAVERAGE(_xlnm.Database,FILESTAT!CA$3,bfy2001_)),0)</f>
        <v>0</v>
      </c>
      <c r="CB98" s="122">
        <f>ROUND(IF(ISERROR(DAVERAGE(_xlnm.Database,FILESTAT!CB$3,bfy2001_)),0,DAVERAGE(_xlnm.Database,FILESTAT!CB$3,bfy2001_)),0)</f>
        <v>0</v>
      </c>
      <c r="CC98" s="122"/>
      <c r="CD98" s="122">
        <f>ROUND(IF(ISERROR(DAVERAGE(_xlnm.Database,FILESTAT!CD$3,bfy2001_)),0,DAVERAGE(_xlnm.Database,FILESTAT!CD$3,bfy2001_)),0)</f>
        <v>0</v>
      </c>
      <c r="CE98" s="122">
        <f>ROUND(IF(ISERROR(DAVERAGE(_xlnm.Database,FILESTAT!CE$3,bfy2001_)),0,DAVERAGE(_xlnm.Database,FILESTAT!CE$3,bfy2001_)),0)</f>
        <v>0</v>
      </c>
      <c r="CF98" s="122">
        <f>ROUND(IF(ISERROR(DAVERAGE(_xlnm.Database,FILESTAT!CF$3,bfy2001_)),0,DAVERAGE(_xlnm.Database,FILESTAT!CF$3,bfy2001_)),0)</f>
        <v>0</v>
      </c>
      <c r="CG98" s="122">
        <f>ROUND(IF(ISERROR(DAVERAGE(_xlnm.Database,FILESTAT!CG$3,bfy2001_)),0,DAVERAGE(_xlnm.Database,FILESTAT!CG$3,bfy2001_)),0)</f>
        <v>0</v>
      </c>
      <c r="CH98" s="122">
        <f>ROUND(IF(ISERROR(DAVERAGE(_xlnm.Database,FILESTAT!CH$3,bfy2001_)),0,DAVERAGE(_xlnm.Database,FILESTAT!CH$3,bfy2001_)),0)</f>
        <v>0</v>
      </c>
      <c r="CI98" s="122">
        <f>ROUND(IF(ISERROR(DAVERAGE(_xlnm.Database,FILESTAT!CI$3,bfy2001_)),0,DAVERAGE(_xlnm.Database,FILESTAT!CI$3,bfy2001_)),0)</f>
        <v>0</v>
      </c>
      <c r="CJ98" s="122">
        <f>ROUND(IF(ISERROR(DAVERAGE(_xlnm.Database,FILESTAT!CJ$3,bfy2001_)),0,DAVERAGE(_xlnm.Database,FILESTAT!CJ$3,bfy2001_)),0)</f>
        <v>0</v>
      </c>
      <c r="CK98" s="122"/>
      <c r="CL98" s="122"/>
      <c r="CM98" s="122">
        <f>ROUND(IF(ISERROR(DAVERAGE(_xlnm.Database,FILESTAT!CM$3,bfy2001_)),0,DAVERAGE(_xlnm.Database,FILESTAT!CM$3,bfy2001_)),0)</f>
        <v>0</v>
      </c>
      <c r="CN98" s="122">
        <f>ROUND(IF(ISERROR(DAVERAGE(_xlnm.Database,FILESTAT!CN$3,bfy2001_)),0,DAVERAGE(_xlnm.Database,FILESTAT!CN$3,bfy2001_)),0)</f>
        <v>0</v>
      </c>
      <c r="CO98" s="122">
        <f>ROUND(IF(ISERROR(DAVERAGE(_xlnm.Database,FILESTAT!CO$3,bfy2001_)),0,DAVERAGE(_xlnm.Database,FILESTAT!CO$3,bfy2001_)),0)</f>
        <v>0</v>
      </c>
      <c r="CP98" s="122"/>
      <c r="CQ98" s="122">
        <f>ROUND(IF(ISERROR(DAVERAGE(_xlnm.Database,FILESTAT!CQ$3,bfy2001_)),0,DAVERAGE(_xlnm.Database,FILESTAT!CQ$3,bfy2001_)),0)</f>
        <v>0</v>
      </c>
      <c r="CR98" s="122"/>
      <c r="CS98" s="122">
        <f>ROUND(IF(ISERROR(DAVERAGE(_xlnm.Database,FILESTAT!CS$3,bfy2001_)),0,DAVERAGE(_xlnm.Database,FILESTAT!CS$3,bfy2001_)),0)</f>
        <v>0</v>
      </c>
      <c r="CT98" s="122">
        <f>ROUND(IF(ISERROR(DAVERAGE(_xlnm.Database,FILESTAT!CT$3,bfy2001_)),0,DAVERAGE(_xlnm.Database,FILESTAT!CT$3,bfy2001_)),0)</f>
        <v>0</v>
      </c>
      <c r="CU98" s="122">
        <f>ROUND(IF(ISERROR(DAVERAGE(_xlnm.Database,FILESTAT!CU$3,bfy2001_)),0,DAVERAGE(_xlnm.Database,FILESTAT!CU$3,bfy2001_)),0)</f>
        <v>0</v>
      </c>
      <c r="CV98" s="122">
        <f>ROUND(IF(ISERROR(DAVERAGE(_xlnm.Database,FILESTAT!CV$3,bfy2001_)),0,DAVERAGE(_xlnm.Database,FILESTAT!CV$3,bfy2001_)),0)</f>
        <v>0</v>
      </c>
      <c r="CW98" s="122">
        <f>ROUND(IF(ISERROR(DAVERAGE(_xlnm.Database,FILESTAT!CW$3,bfy2001_)),0,DAVERAGE(_xlnm.Database,FILESTAT!CW$3,bfy2001_)),0)</f>
        <v>0</v>
      </c>
      <c r="CX98" s="122"/>
      <c r="CY98" s="122">
        <f>ROUND(IF(ISERROR(DAVERAGE(_xlnm.Database,FILESTAT!CY$3,bfy2001_)),0,DAVERAGE(_xlnm.Database,FILESTAT!CY$3,bfy2001_)),0)</f>
        <v>0</v>
      </c>
      <c r="CZ98" s="122">
        <f>ROUND(IF(ISERROR(DAVERAGE(_xlnm.Database,FILESTAT!CZ$3,bfy2001_)),0,DAVERAGE(_xlnm.Database,FILESTAT!CZ$3,bfy2001_)),0)</f>
        <v>0</v>
      </c>
      <c r="DA98" s="122">
        <f>ROUND(IF(ISERROR(DAVERAGE(_xlnm.Database,FILESTAT!DA$3,bfy2001_)),0,DAVERAGE(_xlnm.Database,FILESTAT!DA$3,bfy2001_)),0)</f>
        <v>0</v>
      </c>
      <c r="DB98" s="122">
        <f>ROUND(IF(ISERROR(DAVERAGE(_xlnm.Database,FILESTAT!DB$3,bfy2001_)),0,DAVERAGE(_xlnm.Database,FILESTAT!DB$3,bfy2001_)),0)</f>
        <v>0</v>
      </c>
      <c r="DC98" s="122">
        <f>ROUND(IF(ISERROR(DAVERAGE(_xlnm.Database,FILESTAT!DC$3,bfy2001_)),0,DAVERAGE(_xlnm.Database,FILESTAT!DC$3,bfy2001_)),0)</f>
        <v>0</v>
      </c>
      <c r="DD98" s="122">
        <f>ROUND(IF(ISERROR(DAVERAGE(_xlnm.Database,FILESTAT!DD$3,bfy2001_)),0,DAVERAGE(_xlnm.Database,FILESTAT!DD$3,bfy2001_)),0)</f>
        <v>0</v>
      </c>
      <c r="DE98" s="122">
        <f>ROUND(IF(ISERROR(DAVERAGE(_xlnm.Database,FILESTAT!DE$3,bfy2001_)),0,DAVERAGE(_xlnm.Database,FILESTAT!DE$3,bfy2001_)),0)</f>
        <v>0</v>
      </c>
      <c r="DF98" s="122">
        <f>ROUND(IF(ISERROR(DAVERAGE(_xlnm.Database,FILESTAT!DF$3,bfy2001_)),0,DAVERAGE(_xlnm.Database,FILESTAT!DF$3,bfy2001_)),0)</f>
        <v>0</v>
      </c>
      <c r="DG98" s="122">
        <f>ROUND(IF(ISERROR(DAVERAGE(_xlnm.Database,FILESTAT!DG$3,bfy2001_)),0,DAVERAGE(_xlnm.Database,FILESTAT!DG$3,bfy2001_)),0)</f>
        <v>0</v>
      </c>
      <c r="DH98" s="122">
        <f>ROUND(IF(ISERROR(DAVERAGE(_xlnm.Database,FILESTAT!DH$3,bfy2001_)),0,DAVERAGE(_xlnm.Database,FILESTAT!DH$3,bfy2001_)),0)</f>
        <v>0</v>
      </c>
      <c r="DI98" s="122">
        <f>ROUND(IF(ISERROR(DAVERAGE(_xlnm.Database,FILESTAT!DI$3,bfy2001_)),0,DAVERAGE(_xlnm.Database,FILESTAT!DI$3,bfy2001_)),0)</f>
        <v>0</v>
      </c>
      <c r="DJ98" s="122">
        <f>ROUND(IF(ISERROR(DAVERAGE(_xlnm.Database,FILESTAT!DJ$3,bfy2001_)),0,DAVERAGE(_xlnm.Database,FILESTAT!DJ$3,bfy2001_)),0)</f>
        <v>0</v>
      </c>
      <c r="DK98" s="122"/>
      <c r="DL98" s="122">
        <f>ROUND(IF(ISERROR(DAVERAGE(_xlnm.Database,FILESTAT!DL$3,bfy2001_)),0,DAVERAGE(_xlnm.Database,FILESTAT!DL$3,bfy2001_)),0)</f>
        <v>0</v>
      </c>
      <c r="DM98" s="122">
        <f>ROUND(IF(ISERROR(DAVERAGE(_xlnm.Database,FILESTAT!DM$3,bfy2001_)),0,DAVERAGE(_xlnm.Database,FILESTAT!DM$3,bfy2001_)),0)</f>
        <v>0</v>
      </c>
      <c r="DN98" s="122">
        <f>ROUND(IF(ISERROR(DAVERAGE(_xlnm.Database,FILESTAT!DN$3,bfy2001_)),0,DAVERAGE(_xlnm.Database,FILESTAT!DN$3,bfy2001_)),0)</f>
        <v>0</v>
      </c>
      <c r="DO98" s="122">
        <f>ROUND(IF(ISERROR(DAVERAGE(_xlnm.Database,FILESTAT!DO$3,bfy2001_)),0,DAVERAGE(_xlnm.Database,FILESTAT!DO$3,bfy2001_)),0)</f>
        <v>0</v>
      </c>
      <c r="DP98" s="122">
        <f>ROUND(IF(ISERROR(DAVERAGE(_xlnm.Database,FILESTAT!DP$3,bfy2001_)),0,DAVERAGE(_xlnm.Database,FILESTAT!DP$3,bfy2001_)),0)</f>
        <v>0</v>
      </c>
      <c r="DQ98" s="122">
        <f>ROUND(IF(ISERROR(DAVERAGE(_xlnm.Database,FILESTAT!DQ$3,bfy2001_)),0,DAVERAGE(_xlnm.Database,FILESTAT!DQ$3,bfy2001_)),0)</f>
        <v>0</v>
      </c>
      <c r="DR98" s="122"/>
      <c r="DS98" s="122">
        <f>ROUND(IF(ISERROR(DAVERAGE(_xlnm.Database,FILESTAT!DS$3,bfy2001_)),0,DAVERAGE(_xlnm.Database,FILESTAT!DS$3,bfy2001_)),0)</f>
        <v>0</v>
      </c>
      <c r="DT98" s="122">
        <f>ROUND(IF(ISERROR(DAVERAGE(_xlnm.Database,FILESTAT!DT$3,bfy2001_)),0,DAVERAGE(_xlnm.Database,FILESTAT!DT$3,bfy2001_)),0)</f>
        <v>0</v>
      </c>
      <c r="DU98" s="122">
        <f>ROUND(IF(ISERROR(DAVERAGE(_xlnm.Database,FILESTAT!DU$3,bfy2001_)),0,DAVERAGE(_xlnm.Database,FILESTAT!DU$3,bfy2001_)),0)</f>
        <v>0</v>
      </c>
      <c r="DV98" s="127">
        <f t="shared" si="212"/>
        <v>0</v>
      </c>
      <c r="DW98" s="128"/>
    </row>
    <row r="99" spans="1:127" s="111" customFormat="1">
      <c r="A99" s="228">
        <v>2002</v>
      </c>
      <c r="B99" s="24"/>
      <c r="C99" s="121">
        <f>ROUND(IF(ISERROR(DAVERAGE(_xlnm.Database,FILESTAT!C$3,bfy2002_)),0,DAVERAGE(_xlnm.Database,FILESTAT!C$3,bfy2002_)),0)</f>
        <v>2</v>
      </c>
      <c r="D99" s="122">
        <f>ROUND(IF(ISERROR(DAVERAGE(_xlnm.Database,FILESTAT!D$3,bfy2002_)),0,DAVERAGE(_xlnm.Database,FILESTAT!D$3,bfy2002_)),0)</f>
        <v>15</v>
      </c>
      <c r="E99" s="122">
        <f>ROUND(IF(ISERROR(DAVERAGE(_xlnm.Database,FILESTAT!E$3,bfy2002_)),0,DAVERAGE(_xlnm.Database,FILESTAT!E$3,bfy2002_)),0)</f>
        <v>1</v>
      </c>
      <c r="F99" s="122">
        <f>ROUND(IF(ISERROR(DAVERAGE(_xlnm.Database,FILESTAT!F$3,bfy2002_)),0,DAVERAGE(_xlnm.Database,FILESTAT!F$3,bfy2002_)),0)</f>
        <v>1</v>
      </c>
      <c r="G99" s="122">
        <f>ROUND(IF(ISERROR(DAVERAGE(_xlnm.Database,FILESTAT!G$3,bfy2002_)),0,DAVERAGE(_xlnm.Database,FILESTAT!G$3,bfy2002_)),0)</f>
        <v>1</v>
      </c>
      <c r="H99" s="122">
        <f>ROUND(IF(ISERROR(DAVERAGE(_xlnm.Database,FILESTAT!H$3,bfy2002_)),0,DAVERAGE(_xlnm.Database,FILESTAT!H$3,bfy2002_)),0)</f>
        <v>1</v>
      </c>
      <c r="I99" s="122">
        <f>ROUND(IF(ISERROR(DAVERAGE(_xlnm.Database,FILESTAT!I$3,bfy2002_)),0,DAVERAGE(_xlnm.Database,FILESTAT!I$3,bfy2002_)),0)</f>
        <v>0</v>
      </c>
      <c r="J99" s="122">
        <f>ROUND(IF(ISERROR(DAVERAGE(_xlnm.Database,FILESTAT!J$3,bfy2002_)),0,DAVERAGE(_xlnm.Database,FILESTAT!J$3,bfy2002_)),0)</f>
        <v>19</v>
      </c>
      <c r="K99" s="122">
        <f>ROUND(IF(ISERROR(DAVERAGE(_xlnm.Database,FILESTAT!K$3,bfy2002_)),0,DAVERAGE(_xlnm.Database,FILESTAT!K$3,bfy2002_)),0)</f>
        <v>1</v>
      </c>
      <c r="L99" s="122">
        <f>ROUND(IF(ISERROR(DAVERAGE(_xlnm.Database,FILESTAT!L$3,bfy2002_)),0,DAVERAGE(_xlnm.Database,FILESTAT!L$3,bfy2002_)),0)</f>
        <v>0</v>
      </c>
      <c r="M99" s="122">
        <f>ROUND(IF(ISERROR(DAVERAGE(_xlnm.Database,FILESTAT!M$3,bfy2002_)),0,DAVERAGE(_xlnm.Database,FILESTAT!M$3,bfy2002_)),0)</f>
        <v>0</v>
      </c>
      <c r="N99" s="122">
        <f>ROUND(IF(ISERROR(DAVERAGE(_xlnm.Database,FILESTAT!N$3,bfy2002_)),0,DAVERAGE(_xlnm.Database,FILESTAT!N$3,bfy2002_)),0)</f>
        <v>0</v>
      </c>
      <c r="O99" s="122">
        <f>ROUND(IF(ISERROR(DAVERAGE(_xlnm.Database,FILESTAT!O$3,bfy2002_)),0,DAVERAGE(_xlnm.Database,FILESTAT!O$3,bfy2002_)),0)</f>
        <v>5</v>
      </c>
      <c r="P99" s="122">
        <f>ROUND(IF(ISERROR(DAVERAGE(_xlnm.Database,FILESTAT!P$3,bfy2002_)),0,DAVERAGE(_xlnm.Database,FILESTAT!P$3,bfy2002_)),0)</f>
        <v>1</v>
      </c>
      <c r="Q99" s="122">
        <f>ROUND(IF(ISERROR(DAVERAGE(_xlnm.Database,FILESTAT!Q$3,bfy2002_)),0,DAVERAGE(_xlnm.Database,FILESTAT!Q$3,bfy2002_)),0)</f>
        <v>0</v>
      </c>
      <c r="R99" s="123">
        <f>ROUND(IF(ISERROR(DAVERAGE(_xlnm.Database,FILESTAT!R$3,bfy2002_)),0,DAVERAGE(_xlnm.Database,FILESTAT!R$3,bfy2002_)),0)</f>
        <v>1</v>
      </c>
      <c r="S99" s="120">
        <f t="shared" ref="S99:S104" si="216">SUM(C99:R99)</f>
        <v>48</v>
      </c>
      <c r="T99" s="122">
        <f>ROUND(IF(ISERROR(DAVERAGE(_xlnm.Database,FILESTAT!T$3,bfy2002_)),0,DAVERAGE(_xlnm.Database,FILESTAT!T$3,bfy2002_)),0)</f>
        <v>1</v>
      </c>
      <c r="U99" s="122">
        <f>ROUND(IF(ISERROR(DAVERAGE(_xlnm.Database,FILESTAT!U$3,bfy2002_)),0,DAVERAGE(_xlnm.Database,FILESTAT!U$3,bfy2002_)),0)</f>
        <v>11</v>
      </c>
      <c r="V99" s="122"/>
      <c r="W99" s="122">
        <f>ROUND(IF(ISERROR(DAVERAGE(_xlnm.Database,FILESTAT!W$3,bfy2002_)),0,DAVERAGE(_xlnm.Database,FILESTAT!W$3,bfy2002_)),0)</f>
        <v>0</v>
      </c>
      <c r="X99" s="123">
        <f>ROUND(IF(ISERROR(DAVERAGE(_xlnm.Database,FILESTAT!X$3,bfy2002_)),0,DAVERAGE(_xlnm.Database,FILESTAT!X$3,bfy2002_)),0)</f>
        <v>0</v>
      </c>
      <c r="Z99" s="121">
        <f>ROUND(IF(ISERROR(DAVERAGE(_xlnm.Database,FILESTAT!Z$3,bfy2002_)),0,DAVERAGE(_xlnm.Database,FILESTAT!Z$3,bfy2002_)),0)</f>
        <v>1788417</v>
      </c>
      <c r="AA99" s="122">
        <f>ROUND(IF(ISERROR(DAVERAGE(_xlnm.Database,FILESTAT!AA$3,bfy2002_)),0,DAVERAGE(_xlnm.Database,FILESTAT!AA$3,bfy2002_)),0)</f>
        <v>780863</v>
      </c>
      <c r="AB99" s="122"/>
      <c r="AC99" s="121">
        <f>ROUND(IF(ISERROR(DAVERAGE(_xlnm.Database,FILESTAT!AC$3,bfy2002_)),0,DAVERAGE(_xlnm.Database,FILESTAT!AC$3,bfy2002_)),0)</f>
        <v>579669</v>
      </c>
      <c r="AD99" s="122">
        <f>ROUND(IF(ISERROR(DAVERAGE(_xlnm.Database,FILESTAT!AD$3,bfy2002_)),0,DAVERAGE(_xlnm.Database,FILESTAT!AD$3,bfy2002_)),0)</f>
        <v>1077420</v>
      </c>
      <c r="AE99" s="120">
        <f t="shared" ref="AE99:AE104" si="217">SUM(AC99:AD99)</f>
        <v>1657089</v>
      </c>
      <c r="AG99" s="121">
        <f>ROUND(IF(ISERROR(DAVERAGE(_xlnm.Database,FILESTAT!AG$3,bfy2002_)),0,DAVERAGE(_xlnm.Database,FILESTAT!AG$3,bfy2002_)),0)</f>
        <v>74</v>
      </c>
      <c r="AH99" s="122">
        <f>ROUND(IF(ISERROR(DAVERAGE(_xlnm.Database,FILESTAT!AH$3,bfy2002_)),0,DAVERAGE(_xlnm.Database,FILESTAT!AH$3,bfy2002_)),0)</f>
        <v>39</v>
      </c>
      <c r="AI99" s="122">
        <f>ROUND(IF(ISERROR(DAVERAGE(_xlnm.Database,FILESTAT!AI$3,bfy2002_)),0,DAVERAGE(_xlnm.Database,FILESTAT!AI$3,bfy2002_)),0)</f>
        <v>129</v>
      </c>
      <c r="AJ99" s="123">
        <f>ROUND(IF(ISERROR(DAVERAGE(_xlnm.Database,FILESTAT!AJ$3,bfy2002_)),0,DAVERAGE(_xlnm.Database,FILESTAT!AJ$3,bfy2002_)),0)</f>
        <v>25</v>
      </c>
      <c r="AL99" s="121">
        <f>ROUND(IF(ISERROR(DAVERAGE(_xlnm.Database,FILESTAT!AL$3,bfy2002_)),0,DAVERAGE(_xlnm.Database,FILESTAT!AL$3,bfy2002_)),0)</f>
        <v>34</v>
      </c>
      <c r="AM99" s="122">
        <f>ROUND(IF(ISERROR(DAVERAGE(_xlnm.Database,FILESTAT!AM$3,bfy2002_)),0,DAVERAGE(_xlnm.Database,FILESTAT!AM$3,bfy2002_)),0)</f>
        <v>62</v>
      </c>
      <c r="AN99" s="120">
        <f t="shared" si="213"/>
        <v>96</v>
      </c>
      <c r="AO99" s="122">
        <f>ROUND(IF(ISERROR(DAVERAGE(_xlnm.Database,FILESTAT!AO$3,bfy2002_)),0,DAVERAGE(_xlnm.Database,FILESTAT!AO$3,bfy2002_)),0)</f>
        <v>50</v>
      </c>
      <c r="AP99" s="122">
        <f>ROUND(IF(ISERROR(DAVERAGE(_xlnm.Database,FILESTAT!AP$3,bfy2002_)),0,DAVERAGE(_xlnm.Database,FILESTAT!AP$3,bfy2002_)),0)</f>
        <v>8</v>
      </c>
      <c r="AQ99" s="120">
        <f t="shared" si="214"/>
        <v>58</v>
      </c>
      <c r="AR99" s="122">
        <f>ROUND(IF(ISERROR(DAVERAGE(_xlnm.Database,FILESTAT!AR$3,bfy2002_)),0,DAVERAGE(_xlnm.Database,FILESTAT!AR$3,bfy2002_)),0)</f>
        <v>153</v>
      </c>
      <c r="AS99" s="122">
        <f>ROUND(IF(ISERROR(DAVERAGE(_xlnm.Database,FILESTAT!AS$3,bfy2002_)),0,DAVERAGE(_xlnm.Database,FILESTAT!AS$3,bfy2002_)),0)</f>
        <v>44</v>
      </c>
      <c r="AT99" s="122">
        <f>ROUND(IF(ISERROR(DAVERAGE(_xlnm.Database,FILESTAT!AT$3,bfy2002_)),0,DAVERAGE(_xlnm.Database,FILESTAT!AT$3,bfy2002_)),0)</f>
        <v>146</v>
      </c>
      <c r="AU99" s="122">
        <f>ROUND(IF(ISERROR(DAVERAGE(_xlnm.Database,FILESTAT!AU$3,bfy2002_)),0,DAVERAGE(_xlnm.Database,FILESTAT!AU$3,bfy2002_)),0)</f>
        <v>26</v>
      </c>
      <c r="AV99" s="123">
        <f>ROUND(IF(ISERROR(DAVERAGE(_xlnm.Database,FILESTAT!AV$3,bfy2002_)),0,DAVERAGE(_xlnm.Database,FILESTAT!AV$3,bfy2002_)),0)</f>
        <v>222</v>
      </c>
      <c r="AW99"/>
      <c r="AX99" s="356"/>
      <c r="AY99"/>
      <c r="BA99" s="121">
        <f>ROUND(IF(ISERROR(DAVERAGE(_xlnm.Database,FILESTAT!BA$3,bfy2002_)),0,DAVERAGE(_xlnm.Database,FILESTAT!BA$3,bfy2002_)),0)</f>
        <v>1713</v>
      </c>
      <c r="BB99" s="122">
        <f>ROUND(IF(ISERROR(DAVERAGE(_xlnm.Database,FILESTAT!BB$3,bfy2002_)),0,DAVERAGE(_xlnm.Database,FILESTAT!BB$3,bfy2002_)),0)</f>
        <v>33795740</v>
      </c>
      <c r="BC99" s="122">
        <f>ROUND(IF(ISERROR(DAVERAGE(_xlnm.Database,FILESTAT!BC$3,bfy2002_)),0,DAVERAGE(_xlnm.Database,FILESTAT!BC$3,bfy2002_)),0)</f>
        <v>0</v>
      </c>
      <c r="BD99" s="122"/>
      <c r="BE99" s="122">
        <f>ROUND(IF(ISERROR(DAVERAGE(_xlnm.Database,FILESTAT!BE$3,bfy2002_)),0,DAVERAGE(_xlnm.Database,FILESTAT!BE$3,bfy2002_)),0)</f>
        <v>73</v>
      </c>
      <c r="BF99" s="122">
        <f>ROUND(IF(ISERROR(DAVERAGE(_xlnm.Database,FILESTAT!BF$3,bfy2002_)),0,DAVERAGE(_xlnm.Database,FILESTAT!BF$3,bfy2002_)),0)</f>
        <v>4</v>
      </c>
      <c r="BG99" s="122">
        <f>ROUND(IF(ISERROR(DAVERAGE(_xlnm.Database,FILESTAT!BG$3,bfy2002_)),0,DAVERAGE(_xlnm.Database,FILESTAT!BG$3,bfy2002_)),0)</f>
        <v>2</v>
      </c>
      <c r="BH99" s="122"/>
      <c r="BI99" s="122">
        <f>ROUND(IF(ISERROR(DAVERAGE(_xlnm.Database,FILESTAT!BI$3,bfy2002_)),0,DAVERAGE(_xlnm.Database,FILESTAT!BI$3,bfy2002_)),0)</f>
        <v>2199435</v>
      </c>
      <c r="BJ99" s="122"/>
      <c r="BK99" s="122"/>
      <c r="BL99" s="122"/>
      <c r="BM99" s="123">
        <f>ROUND(IF(ISERROR(DAVERAGE(_xlnm.Database,FILESTAT!BM$3,bfy2002_)),0,DAVERAGE(_xlnm.Database,FILESTAT!BM$3,bfy2002_)),0)</f>
        <v>4280</v>
      </c>
      <c r="BO99" s="121">
        <f>ROUND(IF(ISERROR(DAVERAGE(_xlnm.Database,FILESTAT!BO$3,bfy2002_)),0,DAVERAGE(_xlnm.Database,FILESTAT!BO$3,bfy2002_)),0)</f>
        <v>0</v>
      </c>
      <c r="BP99" s="123">
        <f>ROUND(IF(ISERROR(DAVERAGE(_xlnm.Database,FILESTAT!BP$3,bfy2002_)),0,DAVERAGE(_xlnm.Database,FILESTAT!BP$3,bfy2002_)),0)</f>
        <v>156</v>
      </c>
      <c r="BR99" s="252"/>
      <c r="BS99" s="179"/>
      <c r="BT99" s="251"/>
      <c r="BV99" s="121">
        <f>ROUND(IF(ISERROR(DAVERAGE(_xlnm.Database,FILESTAT!BV$3,bfy2002_)),0,DAVERAGE(_xlnm.Database,FILESTAT!BV$3,bfy2002_)),0)</f>
        <v>2</v>
      </c>
      <c r="BW99" s="122">
        <f>ROUND(IF(ISERROR(DAVERAGE(_xlnm.Database,FILESTAT!BW$3,bfy2002_)),0,DAVERAGE(_xlnm.Database,FILESTAT!BW$3,bfy2002_)),0)</f>
        <v>2</v>
      </c>
      <c r="BX99" s="122">
        <f>ROUND(IF(ISERROR(DAVERAGE(_xlnm.Database,FILESTAT!BX$3,bfy2002_)),0,DAVERAGE(_xlnm.Database,FILESTAT!BX$3,bfy2002_)),0)</f>
        <v>2</v>
      </c>
      <c r="BY99" s="122">
        <f>ROUND(IF(ISERROR(DAVERAGE(_xlnm.Database,FILESTAT!BY$3,bfy2002_)),0,DAVERAGE(_xlnm.Database,FILESTAT!BY$3,bfy2002_)),0)</f>
        <v>0</v>
      </c>
      <c r="BZ99" s="122">
        <f>ROUND(IF(ISERROR(DAVERAGE(_xlnm.Database,FILESTAT!BZ$3,bfy2002_)),0,DAVERAGE(_xlnm.Database,FILESTAT!BZ$3,bfy2002_)),0)</f>
        <v>0</v>
      </c>
      <c r="CA99" s="122">
        <f>ROUND(IF(ISERROR(DAVERAGE(_xlnm.Database,FILESTAT!CA$3,bfy2002_)),0,DAVERAGE(_xlnm.Database,FILESTAT!CA$3,bfy2002_)),0)</f>
        <v>0</v>
      </c>
      <c r="CB99" s="122">
        <f>ROUND(IF(ISERROR(DAVERAGE(_xlnm.Database,FILESTAT!CB$3,bfy2002_)),0,DAVERAGE(_xlnm.Database,FILESTAT!CB$3,bfy2002_)),0)</f>
        <v>0</v>
      </c>
      <c r="CC99" s="122"/>
      <c r="CD99" s="122">
        <f>ROUND(IF(ISERROR(DAVERAGE(_xlnm.Database,FILESTAT!CD$3,bfy2002_)),0,DAVERAGE(_xlnm.Database,FILESTAT!CD$3,bfy2002_)),0)</f>
        <v>4</v>
      </c>
      <c r="CE99" s="122">
        <f>ROUND(IF(ISERROR(DAVERAGE(_xlnm.Database,FILESTAT!CE$3,bfy2002_)),0,DAVERAGE(_xlnm.Database,FILESTAT!CE$3,bfy2002_)),0)</f>
        <v>0</v>
      </c>
      <c r="CF99" s="122">
        <f>ROUND(IF(ISERROR(DAVERAGE(_xlnm.Database,FILESTAT!CF$3,bfy2002_)),0,DAVERAGE(_xlnm.Database,FILESTAT!CF$3,bfy2002_)),0)</f>
        <v>1</v>
      </c>
      <c r="CG99" s="122">
        <f>ROUND(IF(ISERROR(DAVERAGE(_xlnm.Database,FILESTAT!CG$3,bfy2002_)),0,DAVERAGE(_xlnm.Database,FILESTAT!CG$3,bfy2002_)),0)</f>
        <v>1</v>
      </c>
      <c r="CH99" s="122">
        <f>ROUND(IF(ISERROR(DAVERAGE(_xlnm.Database,FILESTAT!CH$3,bfy2002_)),0,DAVERAGE(_xlnm.Database,FILESTAT!CH$3,bfy2002_)),0)</f>
        <v>0</v>
      </c>
      <c r="CI99" s="122">
        <f>ROUND(IF(ISERROR(DAVERAGE(_xlnm.Database,FILESTAT!CI$3,bfy2002_)),0,DAVERAGE(_xlnm.Database,FILESTAT!CI$3,bfy2002_)),0)</f>
        <v>2</v>
      </c>
      <c r="CJ99" s="122">
        <f>ROUND(IF(ISERROR(DAVERAGE(_xlnm.Database,FILESTAT!CJ$3,bfy2002_)),0,DAVERAGE(_xlnm.Database,FILESTAT!CJ$3,bfy2002_)),0)</f>
        <v>5</v>
      </c>
      <c r="CK99" s="122"/>
      <c r="CL99" s="122"/>
      <c r="CM99" s="122">
        <f>ROUND(IF(ISERROR(DAVERAGE(_xlnm.Database,FILESTAT!CM$3,bfy2002_)),0,DAVERAGE(_xlnm.Database,FILESTAT!CM$3,bfy2002_)),0)</f>
        <v>0</v>
      </c>
      <c r="CN99" s="122">
        <f>ROUND(IF(ISERROR(DAVERAGE(_xlnm.Database,FILESTAT!CN$3,bfy2002_)),0,DAVERAGE(_xlnm.Database,FILESTAT!CN$3,bfy2002_)),0)</f>
        <v>1</v>
      </c>
      <c r="CO99" s="122">
        <f>ROUND(IF(ISERROR(DAVERAGE(_xlnm.Database,FILESTAT!CO$3,bfy2002_)),0,DAVERAGE(_xlnm.Database,FILESTAT!CO$3,bfy2002_)),0)</f>
        <v>3</v>
      </c>
      <c r="CP99" s="122"/>
      <c r="CQ99" s="122">
        <f>ROUND(IF(ISERROR(DAVERAGE(_xlnm.Database,FILESTAT!CQ$3,bfy2002_)),0,DAVERAGE(_xlnm.Database,FILESTAT!CQ$3,bfy2002_)),0)</f>
        <v>0</v>
      </c>
      <c r="CR99" s="122"/>
      <c r="CS99" s="122">
        <f>ROUND(IF(ISERROR(DAVERAGE(_xlnm.Database,FILESTAT!CS$3,bfy2002_)),0,DAVERAGE(_xlnm.Database,FILESTAT!CS$3,bfy2002_)),0)</f>
        <v>1</v>
      </c>
      <c r="CT99" s="122">
        <f>ROUND(IF(ISERROR(DAVERAGE(_xlnm.Database,FILESTAT!CT$3,bfy2002_)),0,DAVERAGE(_xlnm.Database,FILESTAT!CT$3,bfy2002_)),0)</f>
        <v>2</v>
      </c>
      <c r="CU99" s="122">
        <f>ROUND(IF(ISERROR(DAVERAGE(_xlnm.Database,FILESTAT!CU$3,bfy2002_)),0,DAVERAGE(_xlnm.Database,FILESTAT!CU$3,bfy2002_)),0)</f>
        <v>0</v>
      </c>
      <c r="CV99" s="122">
        <f>ROUND(IF(ISERROR(DAVERAGE(_xlnm.Database,FILESTAT!CV$3,bfy2002_)),0,DAVERAGE(_xlnm.Database,FILESTAT!CV$3,bfy2002_)),0)</f>
        <v>3</v>
      </c>
      <c r="CW99" s="122">
        <f>ROUND(IF(ISERROR(DAVERAGE(_xlnm.Database,FILESTAT!CW$3,bfy2002_)),0,DAVERAGE(_xlnm.Database,FILESTAT!CW$3,bfy2002_)),0)</f>
        <v>0</v>
      </c>
      <c r="CX99" s="122"/>
      <c r="CY99" s="122">
        <f>ROUND(IF(ISERROR(DAVERAGE(_xlnm.Database,FILESTAT!CY$3,bfy2002_)),0,DAVERAGE(_xlnm.Database,FILESTAT!CY$3,bfy2002_)),0)</f>
        <v>1</v>
      </c>
      <c r="CZ99" s="122">
        <f>ROUND(IF(ISERROR(DAVERAGE(_xlnm.Database,FILESTAT!CZ$3,bfy2002_)),0,DAVERAGE(_xlnm.Database,FILESTAT!CZ$3,bfy2002_)),0)</f>
        <v>1</v>
      </c>
      <c r="DA99" s="122">
        <f>ROUND(IF(ISERROR(DAVERAGE(_xlnm.Database,FILESTAT!DA$3,bfy2002_)),0,DAVERAGE(_xlnm.Database,FILESTAT!DA$3,bfy2002_)),0)</f>
        <v>0</v>
      </c>
      <c r="DB99" s="122">
        <f>ROUND(IF(ISERROR(DAVERAGE(_xlnm.Database,FILESTAT!DB$3,bfy2002_)),0,DAVERAGE(_xlnm.Database,FILESTAT!DB$3,bfy2002_)),0)</f>
        <v>6</v>
      </c>
      <c r="DC99" s="122">
        <f>ROUND(IF(ISERROR(DAVERAGE(_xlnm.Database,FILESTAT!DC$3,bfy2002_)),0,DAVERAGE(_xlnm.Database,FILESTAT!DC$3,bfy2002_)),0)</f>
        <v>0</v>
      </c>
      <c r="DD99" s="122">
        <f>ROUND(IF(ISERROR(DAVERAGE(_xlnm.Database,FILESTAT!DD$3,bfy2002_)),0,DAVERAGE(_xlnm.Database,FILESTAT!DD$3,bfy2002_)),0)</f>
        <v>0</v>
      </c>
      <c r="DE99" s="122">
        <f>ROUND(IF(ISERROR(DAVERAGE(_xlnm.Database,FILESTAT!DE$3,bfy2002_)),0,DAVERAGE(_xlnm.Database,FILESTAT!DE$3,bfy2002_)),0)</f>
        <v>0</v>
      </c>
      <c r="DF99" s="122">
        <f>ROUND(IF(ISERROR(DAVERAGE(_xlnm.Database,FILESTAT!DF$3,bfy2002_)),0,DAVERAGE(_xlnm.Database,FILESTAT!DF$3,bfy2002_)),0)</f>
        <v>0</v>
      </c>
      <c r="DG99" s="122">
        <f>ROUND(IF(ISERROR(DAVERAGE(_xlnm.Database,FILESTAT!DG$3,bfy2002_)),0,DAVERAGE(_xlnm.Database,FILESTAT!DG$3,bfy2002_)),0)</f>
        <v>1</v>
      </c>
      <c r="DH99" s="122">
        <f>ROUND(IF(ISERROR(DAVERAGE(_xlnm.Database,FILESTAT!DH$3,bfy2002_)),0,DAVERAGE(_xlnm.Database,FILESTAT!DH$3,bfy2002_)),0)</f>
        <v>0</v>
      </c>
      <c r="DI99" s="122">
        <f>ROUND(IF(ISERROR(DAVERAGE(_xlnm.Database,FILESTAT!DI$3,bfy2002_)),0,DAVERAGE(_xlnm.Database,FILESTAT!DI$3,bfy2002_)),0)</f>
        <v>1</v>
      </c>
      <c r="DJ99" s="122">
        <f>ROUND(IF(ISERROR(DAVERAGE(_xlnm.Database,FILESTAT!DJ$3,bfy2002_)),0,DAVERAGE(_xlnm.Database,FILESTAT!DJ$3,bfy2002_)),0)</f>
        <v>0</v>
      </c>
      <c r="DK99" s="122"/>
      <c r="DL99" s="122">
        <f>ROUND(IF(ISERROR(DAVERAGE(_xlnm.Database,FILESTAT!DL$3,bfy2002_)),0,DAVERAGE(_xlnm.Database,FILESTAT!DL$3,bfy2002_)),0)</f>
        <v>0</v>
      </c>
      <c r="DM99" s="122">
        <f>ROUND(IF(ISERROR(DAVERAGE(_xlnm.Database,FILESTAT!DM$3,bfy2002_)),0,DAVERAGE(_xlnm.Database,FILESTAT!DM$3,bfy2002_)),0)</f>
        <v>3</v>
      </c>
      <c r="DN99" s="122">
        <f>ROUND(IF(ISERROR(DAVERAGE(_xlnm.Database,FILESTAT!DN$3,bfy2002_)),0,DAVERAGE(_xlnm.Database,FILESTAT!DN$3,bfy2002_)),0)</f>
        <v>0</v>
      </c>
      <c r="DO99" s="122">
        <f>ROUND(IF(ISERROR(DAVERAGE(_xlnm.Database,FILESTAT!DO$3,bfy2002_)),0,DAVERAGE(_xlnm.Database,FILESTAT!DO$3,bfy2002_)),0)</f>
        <v>2</v>
      </c>
      <c r="DP99" s="122">
        <f>ROUND(IF(ISERROR(DAVERAGE(_xlnm.Database,FILESTAT!DP$3,bfy2002_)),0,DAVERAGE(_xlnm.Database,FILESTAT!DP$3,bfy2002_)),0)</f>
        <v>0</v>
      </c>
      <c r="DQ99" s="122">
        <f>ROUND(IF(ISERROR(DAVERAGE(_xlnm.Database,FILESTAT!DQ$3,bfy2002_)),0,DAVERAGE(_xlnm.Database,FILESTAT!DQ$3,bfy2002_)),0)</f>
        <v>0</v>
      </c>
      <c r="DR99" s="122"/>
      <c r="DS99" s="122">
        <f>ROUND(IF(ISERROR(DAVERAGE(_xlnm.Database,FILESTAT!DS$3,bfy2002_)),0,DAVERAGE(_xlnm.Database,FILESTAT!DS$3,bfy2002_)),0)</f>
        <v>2</v>
      </c>
      <c r="DT99" s="122">
        <f>ROUND(IF(ISERROR(DAVERAGE(_xlnm.Database,FILESTAT!DT$3,bfy2002_)),0,DAVERAGE(_xlnm.Database,FILESTAT!DT$3,bfy2002_)),0)</f>
        <v>1</v>
      </c>
      <c r="DU99" s="122">
        <f>ROUND(IF(ISERROR(DAVERAGE(_xlnm.Database,FILESTAT!DU$3,bfy2002_)),0,DAVERAGE(_xlnm.Database,FILESTAT!DU$3,bfy2002_)),0)</f>
        <v>1</v>
      </c>
      <c r="DV99" s="127">
        <f t="shared" ref="DV99:DV104" si="218">SUM(BV99:DU99)</f>
        <v>48</v>
      </c>
      <c r="DW99" s="128"/>
    </row>
    <row r="100" spans="1:127" s="111" customFormat="1">
      <c r="A100" s="228">
        <v>2003</v>
      </c>
      <c r="B100" s="24"/>
      <c r="C100" s="121">
        <f>ROUND(IF(ISERROR(DAVERAGE(_xlnm.Database,FILESTAT!C$3,bfy2003_)),0,DAVERAGE(_xlnm.Database,FILESTAT!C$3,bfy2003_)),0)</f>
        <v>2</v>
      </c>
      <c r="D100" s="122">
        <f>ROUND(IF(ISERROR(DAVERAGE(_xlnm.Database,FILESTAT!D$3,bfy2003_)),0,DAVERAGE(_xlnm.Database,FILESTAT!D$3,bfy2003_)),0)</f>
        <v>17</v>
      </c>
      <c r="E100" s="122">
        <f>ROUND(IF(ISERROR(DAVERAGE(_xlnm.Database,FILESTAT!E$3,bfy2003_)),0,DAVERAGE(_xlnm.Database,FILESTAT!E$3,bfy2003_)),0)</f>
        <v>2</v>
      </c>
      <c r="F100" s="122">
        <f>ROUND(IF(ISERROR(DAVERAGE(_xlnm.Database,FILESTAT!F$3,bfy2003_)),0,DAVERAGE(_xlnm.Database,FILESTAT!F$3,bfy2003_)),0)</f>
        <v>1</v>
      </c>
      <c r="G100" s="122">
        <f>ROUND(IF(ISERROR(DAVERAGE(_xlnm.Database,FILESTAT!G$3,bfy2003_)),0,DAVERAGE(_xlnm.Database,FILESTAT!G$3,bfy2003_)),0)</f>
        <v>1</v>
      </c>
      <c r="H100" s="122">
        <f>ROUND(IF(ISERROR(DAVERAGE(_xlnm.Database,FILESTAT!H$3,bfy2003_)),0,DAVERAGE(_xlnm.Database,FILESTAT!H$3,bfy2003_)),0)</f>
        <v>2</v>
      </c>
      <c r="I100" s="122">
        <f>ROUND(IF(ISERROR(DAVERAGE(_xlnm.Database,FILESTAT!I$3,bfy2003_)),0,DAVERAGE(_xlnm.Database,FILESTAT!I$3,bfy2003_)),0)</f>
        <v>0</v>
      </c>
      <c r="J100" s="122">
        <f>ROUND(IF(ISERROR(DAVERAGE(_xlnm.Database,FILESTAT!J$3,bfy2003_)),0,DAVERAGE(_xlnm.Database,FILESTAT!J$3,bfy2003_)),0)</f>
        <v>27</v>
      </c>
      <c r="K100" s="122">
        <f>ROUND(IF(ISERROR(DAVERAGE(_xlnm.Database,FILESTAT!K$3,bfy2003_)),0,DAVERAGE(_xlnm.Database,FILESTAT!K$3,bfy2003_)),0)</f>
        <v>1</v>
      </c>
      <c r="L100" s="122">
        <f>ROUND(IF(ISERROR(DAVERAGE(_xlnm.Database,FILESTAT!L$3,bfy2003_)),0,DAVERAGE(_xlnm.Database,FILESTAT!L$3,bfy2003_)),0)</f>
        <v>0</v>
      </c>
      <c r="M100" s="122">
        <f>ROUND(IF(ISERROR(DAVERAGE(_xlnm.Database,FILESTAT!M$3,bfy2003_)),0,DAVERAGE(_xlnm.Database,FILESTAT!M$3,bfy2003_)),0)</f>
        <v>0</v>
      </c>
      <c r="N100" s="122">
        <f>ROUND(IF(ISERROR(DAVERAGE(_xlnm.Database,FILESTAT!N$3,bfy2003_)),0,DAVERAGE(_xlnm.Database,FILESTAT!N$3,bfy2003_)),0)</f>
        <v>0</v>
      </c>
      <c r="O100" s="122">
        <f>ROUND(IF(ISERROR(DAVERAGE(_xlnm.Database,FILESTAT!O$3,bfy2003_)),0,DAVERAGE(_xlnm.Database,FILESTAT!O$3,bfy2003_)),0)</f>
        <v>5</v>
      </c>
      <c r="P100" s="122">
        <f>ROUND(IF(ISERROR(DAVERAGE(_xlnm.Database,FILESTAT!P$3,bfy2003_)),0,DAVERAGE(_xlnm.Database,FILESTAT!P$3,bfy2003_)),0)</f>
        <v>1</v>
      </c>
      <c r="Q100" s="122">
        <f>ROUND(IF(ISERROR(DAVERAGE(_xlnm.Database,FILESTAT!Q$3,bfy2003_)),0,DAVERAGE(_xlnm.Database,FILESTAT!Q$3,bfy2003_)),0)</f>
        <v>1</v>
      </c>
      <c r="R100" s="123">
        <f>ROUND(IF(ISERROR(DAVERAGE(_xlnm.Database,FILESTAT!R$3,bfy2003_)),0,DAVERAGE(_xlnm.Database,FILESTAT!R$3,bfy2003_)),0)</f>
        <v>2</v>
      </c>
      <c r="S100" s="120">
        <f t="shared" si="216"/>
        <v>62</v>
      </c>
      <c r="T100" s="122">
        <f>ROUND(IF(ISERROR(DAVERAGE(_xlnm.Database,FILESTAT!T$3,bfy2003_)),0,DAVERAGE(_xlnm.Database,FILESTAT!T$3,bfy2003_)),0)</f>
        <v>0</v>
      </c>
      <c r="U100" s="122">
        <f>ROUND(IF(ISERROR(DAVERAGE(_xlnm.Database,FILESTAT!U$3,bfy2003_)),0,DAVERAGE(_xlnm.Database,FILESTAT!U$3,bfy2003_)),0)</f>
        <v>16</v>
      </c>
      <c r="V100" s="122"/>
      <c r="W100" s="122">
        <f>ROUND(IF(ISERROR(DAVERAGE(_xlnm.Database,FILESTAT!W$3,bfy2003_)),0,DAVERAGE(_xlnm.Database,FILESTAT!W$3,bfy2003_)),0)</f>
        <v>1</v>
      </c>
      <c r="X100" s="123">
        <f>ROUND(IF(ISERROR(DAVERAGE(_xlnm.Database,FILESTAT!X$3,bfy2003_)),0,DAVERAGE(_xlnm.Database,FILESTAT!X$3,bfy2003_)),0)</f>
        <v>0</v>
      </c>
      <c r="Z100" s="121">
        <f>ROUND(IF(ISERROR(DAVERAGE(_xlnm.Database,FILESTAT!Z$3,bfy2003_)),0,DAVERAGE(_xlnm.Database,FILESTAT!Z$3,bfy2003_)),0)</f>
        <v>1336562</v>
      </c>
      <c r="AA100" s="122">
        <f>ROUND(IF(ISERROR(DAVERAGE(_xlnm.Database,FILESTAT!AA$3,bfy2003_)),0,DAVERAGE(_xlnm.Database,FILESTAT!AA$3,bfy2003_)),0)</f>
        <v>0</v>
      </c>
      <c r="AB100" s="122"/>
      <c r="AC100" s="121">
        <f>ROUND(IF(ISERROR(DAVERAGE(_xlnm.Database,FILESTAT!AC$3,bfy2003_)),0,DAVERAGE(_xlnm.Database,FILESTAT!AC$3,bfy2003_)),0)</f>
        <v>925717</v>
      </c>
      <c r="AD100" s="122">
        <f>ROUND(IF(ISERROR(DAVERAGE(_xlnm.Database,FILESTAT!AD$3,bfy2003_)),0,DAVERAGE(_xlnm.Database,FILESTAT!AD$3,bfy2003_)),0)</f>
        <v>0</v>
      </c>
      <c r="AE100" s="120">
        <f t="shared" si="217"/>
        <v>925717</v>
      </c>
      <c r="AG100" s="121">
        <f>ROUND(IF(ISERROR(DAVERAGE(_xlnm.Database,FILESTAT!AG$3,bfy2003_)),0,DAVERAGE(_xlnm.Database,FILESTAT!AG$3,bfy2003_)),0)</f>
        <v>88</v>
      </c>
      <c r="AH100" s="122">
        <f>ROUND(IF(ISERROR(DAVERAGE(_xlnm.Database,FILESTAT!AH$3,bfy2003_)),0,DAVERAGE(_xlnm.Database,FILESTAT!AH$3,bfy2003_)),0)</f>
        <v>16</v>
      </c>
      <c r="AI100" s="122">
        <f>ROUND(IF(ISERROR(DAVERAGE(_xlnm.Database,FILESTAT!AI$3,bfy2003_)),0,DAVERAGE(_xlnm.Database,FILESTAT!AI$3,bfy2003_)),0)</f>
        <v>117</v>
      </c>
      <c r="AJ100" s="123">
        <f>ROUND(IF(ISERROR(DAVERAGE(_xlnm.Database,FILESTAT!AJ$3,bfy2003_)),0,DAVERAGE(_xlnm.Database,FILESTAT!AJ$3,bfy2003_)),0)</f>
        <v>0</v>
      </c>
      <c r="AL100" s="121">
        <f>ROUND(IF(ISERROR(DAVERAGE(_xlnm.Database,FILESTAT!AL$3,bfy2003_)),0,DAVERAGE(_xlnm.Database,FILESTAT!AL$3,bfy2003_)),0)</f>
        <v>28</v>
      </c>
      <c r="AM100" s="122">
        <f>ROUND(IF(ISERROR(DAVERAGE(_xlnm.Database,FILESTAT!AM$3,bfy2003_)),0,DAVERAGE(_xlnm.Database,FILESTAT!AM$3,bfy2003_)),0)</f>
        <v>57</v>
      </c>
      <c r="AN100" s="120">
        <f t="shared" ref="AN100:AN106" si="219">ROUND(SUM(AL100:AM100),0)</f>
        <v>85</v>
      </c>
      <c r="AO100" s="122">
        <f>ROUND(IF(ISERROR(DAVERAGE(_xlnm.Database,FILESTAT!AO$3,bfy2003_)),0,DAVERAGE(_xlnm.Database,FILESTAT!AO$3,bfy2003_)),0)</f>
        <v>0</v>
      </c>
      <c r="AP100" s="122">
        <f>ROUND(IF(ISERROR(DAVERAGE(_xlnm.Database,FILESTAT!AP$3,bfy2003_)),0,DAVERAGE(_xlnm.Database,FILESTAT!AP$3,bfy2003_)),0)</f>
        <v>0</v>
      </c>
      <c r="AQ100" s="120">
        <f t="shared" ref="AQ100:AQ106" si="220">ROUND(SUM(AO100:AP100),0)</f>
        <v>0</v>
      </c>
      <c r="AR100" s="122">
        <f>ROUND(IF(ISERROR(DAVERAGE(_xlnm.Database,FILESTAT!AR$3,bfy2003_)),0,DAVERAGE(_xlnm.Database,FILESTAT!AR$3,bfy2003_)),0)</f>
        <v>156</v>
      </c>
      <c r="AS100" s="122">
        <f>ROUND(IF(ISERROR(DAVERAGE(_xlnm.Database,FILESTAT!AS$3,bfy2003_)),0,DAVERAGE(_xlnm.Database,FILESTAT!AS$3,bfy2003_)),0)</f>
        <v>43</v>
      </c>
      <c r="AT100" s="122">
        <f>ROUND(IF(ISERROR(DAVERAGE(_xlnm.Database,FILESTAT!AT$3,bfy2003_)),0,DAVERAGE(_xlnm.Database,FILESTAT!AT$3,bfy2003_)),0)</f>
        <v>111</v>
      </c>
      <c r="AU100" s="122">
        <f>ROUND(IF(ISERROR(DAVERAGE(_xlnm.Database,FILESTAT!AU$3,bfy2003_)),0,DAVERAGE(_xlnm.Database,FILESTAT!AU$3,bfy2003_)),0)</f>
        <v>22</v>
      </c>
      <c r="AV100" s="123">
        <f>ROUND(IF(ISERROR(DAVERAGE(_xlnm.Database,FILESTAT!AV$3,bfy2003_)),0,DAVERAGE(_xlnm.Database,FILESTAT!AV$3,bfy2003_)),0)</f>
        <v>185</v>
      </c>
      <c r="AW100"/>
      <c r="AX100" s="356"/>
      <c r="AY100"/>
      <c r="BA100" s="121">
        <f>ROUND(IF(ISERROR(DAVERAGE(_xlnm.Database,FILESTAT!BA$3,bfy2003_)),0,DAVERAGE(_xlnm.Database,FILESTAT!BA$3,bfy2003_)),0)</f>
        <v>1724</v>
      </c>
      <c r="BB100" s="122">
        <f>ROUND(IF(ISERROR(DAVERAGE(_xlnm.Database,FILESTAT!BB$3,bfy2003_)),0,DAVERAGE(_xlnm.Database,FILESTAT!BB$3,bfy2003_)),0)</f>
        <v>30921402</v>
      </c>
      <c r="BC100" s="122">
        <f>ROUND(IF(ISERROR(DAVERAGE(_xlnm.Database,FILESTAT!BC$3,bfy2003_)),0,DAVERAGE(_xlnm.Database,FILESTAT!BC$3,bfy2003_)),0)</f>
        <v>0</v>
      </c>
      <c r="BD100" s="122"/>
      <c r="BE100" s="122">
        <f>ROUND(IF(ISERROR(DAVERAGE(_xlnm.Database,FILESTAT!BE$3,bfy2003_)),0,DAVERAGE(_xlnm.Database,FILESTAT!BE$3,bfy2003_)),0)</f>
        <v>85</v>
      </c>
      <c r="BF100" s="122">
        <f>ROUND(IF(ISERROR(DAVERAGE(_xlnm.Database,FILESTAT!BF$3,bfy2003_)),0,DAVERAGE(_xlnm.Database,FILESTAT!BF$3,bfy2003_)),0)</f>
        <v>4</v>
      </c>
      <c r="BG100" s="122">
        <f>ROUND(IF(ISERROR(DAVERAGE(_xlnm.Database,FILESTAT!BG$3,bfy2003_)),0,DAVERAGE(_xlnm.Database,FILESTAT!BG$3,bfy2003_)),0)</f>
        <v>4</v>
      </c>
      <c r="BH100" s="122"/>
      <c r="BI100" s="122">
        <f>ROUND(IF(ISERROR(DAVERAGE(_xlnm.Database,FILESTAT!BI$3,bfy2003_)),0,DAVERAGE(_xlnm.Database,FILESTAT!BI$3,bfy2003_)),0)</f>
        <v>2217816</v>
      </c>
      <c r="BJ100" s="122"/>
      <c r="BK100" s="122"/>
      <c r="BL100" s="122"/>
      <c r="BM100" s="123">
        <f>ROUND(IF(ISERROR(DAVERAGE(_xlnm.Database,FILESTAT!BM$3,bfy2003_)),0,DAVERAGE(_xlnm.Database,FILESTAT!BM$3,bfy2003_)),0)</f>
        <v>4298</v>
      </c>
      <c r="BO100" s="121">
        <f>ROUND(IF(ISERROR(DAVERAGE(_xlnm.Database,FILESTAT!BO$3,bfy2003_)),0,DAVERAGE(_xlnm.Database,FILESTAT!BO$3,bfy2003_)),0)</f>
        <v>0</v>
      </c>
      <c r="BP100" s="123">
        <f>ROUND(IF(ISERROR(DAVERAGE(_xlnm.Database,FILESTAT!BP$3,bfy2003_)),0,DAVERAGE(_xlnm.Database,FILESTAT!BP$3,bfy2003_)),0)</f>
        <v>155</v>
      </c>
      <c r="BR100" s="252"/>
      <c r="BS100" s="179"/>
      <c r="BT100" s="251"/>
      <c r="BV100" s="121">
        <f>ROUND(IF(ISERROR(DAVERAGE(_xlnm.Database,FILESTAT!BV$3,bfy2003_)),0,DAVERAGE(_xlnm.Database,FILESTAT!BV$3,bfy2003_)),0)</f>
        <v>2</v>
      </c>
      <c r="BW100" s="122">
        <f>ROUND(IF(ISERROR(DAVERAGE(_xlnm.Database,FILESTAT!BW$3,bfy2003_)),0,DAVERAGE(_xlnm.Database,FILESTAT!BW$3,bfy2003_)),0)</f>
        <v>0</v>
      </c>
      <c r="BX100" s="122">
        <f>ROUND(IF(ISERROR(DAVERAGE(_xlnm.Database,FILESTAT!BX$3,bfy2003_)),0,DAVERAGE(_xlnm.Database,FILESTAT!BX$3,bfy2003_)),0)</f>
        <v>1</v>
      </c>
      <c r="BY100" s="122">
        <f>ROUND(IF(ISERROR(DAVERAGE(_xlnm.Database,FILESTAT!BY$3,bfy2003_)),0,DAVERAGE(_xlnm.Database,FILESTAT!BY$3,bfy2003_)),0)</f>
        <v>0</v>
      </c>
      <c r="BZ100" s="122">
        <f>ROUND(IF(ISERROR(DAVERAGE(_xlnm.Database,FILESTAT!BZ$3,bfy2003_)),0,DAVERAGE(_xlnm.Database,FILESTAT!BZ$3,bfy2003_)),0)</f>
        <v>0</v>
      </c>
      <c r="CA100" s="122">
        <f>ROUND(IF(ISERROR(DAVERAGE(_xlnm.Database,FILESTAT!CA$3,bfy2003_)),0,DAVERAGE(_xlnm.Database,FILESTAT!CA$3,bfy2003_)),0)</f>
        <v>0</v>
      </c>
      <c r="CB100" s="122">
        <f>ROUND(IF(ISERROR(DAVERAGE(_xlnm.Database,FILESTAT!CB$3,bfy2003_)),0,DAVERAGE(_xlnm.Database,FILESTAT!CB$3,bfy2003_)),0)</f>
        <v>0</v>
      </c>
      <c r="CC100" s="122"/>
      <c r="CD100" s="122">
        <f>ROUND(IF(ISERROR(DAVERAGE(_xlnm.Database,FILESTAT!CD$3,bfy2003_)),0,DAVERAGE(_xlnm.Database,FILESTAT!CD$3,bfy2003_)),0)</f>
        <v>5</v>
      </c>
      <c r="CE100" s="122">
        <f>ROUND(IF(ISERROR(DAVERAGE(_xlnm.Database,FILESTAT!CE$3,bfy2003_)),0,DAVERAGE(_xlnm.Database,FILESTAT!CE$3,bfy2003_)),0)</f>
        <v>0</v>
      </c>
      <c r="CF100" s="122">
        <f>ROUND(IF(ISERROR(DAVERAGE(_xlnm.Database,FILESTAT!CF$3,bfy2003_)),0,DAVERAGE(_xlnm.Database,FILESTAT!CF$3,bfy2003_)),0)</f>
        <v>2</v>
      </c>
      <c r="CG100" s="122">
        <f>ROUND(IF(ISERROR(DAVERAGE(_xlnm.Database,FILESTAT!CG$3,bfy2003_)),0,DAVERAGE(_xlnm.Database,FILESTAT!CG$3,bfy2003_)),0)</f>
        <v>0</v>
      </c>
      <c r="CH100" s="122">
        <f>ROUND(IF(ISERROR(DAVERAGE(_xlnm.Database,FILESTAT!CH$3,bfy2003_)),0,DAVERAGE(_xlnm.Database,FILESTAT!CH$3,bfy2003_)),0)</f>
        <v>0</v>
      </c>
      <c r="CI100" s="122">
        <f>ROUND(IF(ISERROR(DAVERAGE(_xlnm.Database,FILESTAT!CI$3,bfy2003_)),0,DAVERAGE(_xlnm.Database,FILESTAT!CI$3,bfy2003_)),0)</f>
        <v>4</v>
      </c>
      <c r="CJ100" s="122">
        <f>ROUND(IF(ISERROR(DAVERAGE(_xlnm.Database,FILESTAT!CJ$3,bfy2003_)),0,DAVERAGE(_xlnm.Database,FILESTAT!CJ$3,bfy2003_)),0)</f>
        <v>6</v>
      </c>
      <c r="CK100" s="122"/>
      <c r="CL100" s="122"/>
      <c r="CM100" s="122">
        <f>ROUND(IF(ISERROR(DAVERAGE(_xlnm.Database,FILESTAT!CM$3,bfy2003_)),0,DAVERAGE(_xlnm.Database,FILESTAT!CM$3,bfy2003_)),0)</f>
        <v>1</v>
      </c>
      <c r="CN100" s="122">
        <f>ROUND(IF(ISERROR(DAVERAGE(_xlnm.Database,FILESTAT!CN$3,bfy2003_)),0,DAVERAGE(_xlnm.Database,FILESTAT!CN$3,bfy2003_)),0)</f>
        <v>0</v>
      </c>
      <c r="CO100" s="122">
        <f>ROUND(IF(ISERROR(DAVERAGE(_xlnm.Database,FILESTAT!CO$3,bfy2003_)),0,DAVERAGE(_xlnm.Database,FILESTAT!CO$3,bfy2003_)),0)</f>
        <v>8</v>
      </c>
      <c r="CP100" s="122"/>
      <c r="CQ100" s="122">
        <f>ROUND(IF(ISERROR(DAVERAGE(_xlnm.Database,FILESTAT!CQ$3,bfy2003_)),0,DAVERAGE(_xlnm.Database,FILESTAT!CQ$3,bfy2003_)),0)</f>
        <v>0</v>
      </c>
      <c r="CR100" s="122"/>
      <c r="CS100" s="122">
        <f>ROUND(IF(ISERROR(DAVERAGE(_xlnm.Database,FILESTAT!CS$3,bfy2003_)),0,DAVERAGE(_xlnm.Database,FILESTAT!CS$3,bfy2003_)),0)</f>
        <v>1</v>
      </c>
      <c r="CT100" s="122">
        <f>ROUND(IF(ISERROR(DAVERAGE(_xlnm.Database,FILESTAT!CT$3,bfy2003_)),0,DAVERAGE(_xlnm.Database,FILESTAT!CT$3,bfy2003_)),0)</f>
        <v>6</v>
      </c>
      <c r="CU100" s="122">
        <f>ROUND(IF(ISERROR(DAVERAGE(_xlnm.Database,FILESTAT!CU$3,bfy2003_)),0,DAVERAGE(_xlnm.Database,FILESTAT!CU$3,bfy2003_)),0)</f>
        <v>0</v>
      </c>
      <c r="CV100" s="122">
        <f>ROUND(IF(ISERROR(DAVERAGE(_xlnm.Database,FILESTAT!CV$3,bfy2003_)),0,DAVERAGE(_xlnm.Database,FILESTAT!CV$3,bfy2003_)),0)</f>
        <v>2</v>
      </c>
      <c r="CW100" s="122">
        <f>ROUND(IF(ISERROR(DAVERAGE(_xlnm.Database,FILESTAT!CW$3,bfy2003_)),0,DAVERAGE(_xlnm.Database,FILESTAT!CW$3,bfy2003_)),0)</f>
        <v>0</v>
      </c>
      <c r="CX100" s="122"/>
      <c r="CY100" s="122">
        <f>ROUND(IF(ISERROR(DAVERAGE(_xlnm.Database,FILESTAT!CY$3,bfy2003_)),0,DAVERAGE(_xlnm.Database,FILESTAT!CY$3,bfy2003_)),0)</f>
        <v>1</v>
      </c>
      <c r="CZ100" s="122">
        <f>ROUND(IF(ISERROR(DAVERAGE(_xlnm.Database,FILESTAT!CZ$3,bfy2003_)),0,DAVERAGE(_xlnm.Database,FILESTAT!CZ$3,bfy2003_)),0)</f>
        <v>0</v>
      </c>
      <c r="DA100" s="122">
        <f>ROUND(IF(ISERROR(DAVERAGE(_xlnm.Database,FILESTAT!DA$3,bfy2003_)),0,DAVERAGE(_xlnm.Database,FILESTAT!DA$3,bfy2003_)),0)</f>
        <v>0</v>
      </c>
      <c r="DB100" s="122">
        <f>ROUND(IF(ISERROR(DAVERAGE(_xlnm.Database,FILESTAT!DB$3,bfy2003_)),0,DAVERAGE(_xlnm.Database,FILESTAT!DB$3,bfy2003_)),0)</f>
        <v>5</v>
      </c>
      <c r="DC100" s="122">
        <f>ROUND(IF(ISERROR(DAVERAGE(_xlnm.Database,FILESTAT!DC$3,bfy2003_)),0,DAVERAGE(_xlnm.Database,FILESTAT!DC$3,bfy2003_)),0)</f>
        <v>0</v>
      </c>
      <c r="DD100" s="122">
        <f>ROUND(IF(ISERROR(DAVERAGE(_xlnm.Database,FILESTAT!DD$3,bfy2003_)),0,DAVERAGE(_xlnm.Database,FILESTAT!DD$3,bfy2003_)),0)</f>
        <v>0</v>
      </c>
      <c r="DE100" s="122">
        <f>ROUND(IF(ISERROR(DAVERAGE(_xlnm.Database,FILESTAT!DE$3,bfy2003_)),0,DAVERAGE(_xlnm.Database,FILESTAT!DE$3,bfy2003_)),0)</f>
        <v>0</v>
      </c>
      <c r="DF100" s="122">
        <f>ROUND(IF(ISERROR(DAVERAGE(_xlnm.Database,FILESTAT!DF$3,bfy2003_)),0,DAVERAGE(_xlnm.Database,FILESTAT!DF$3,bfy2003_)),0)</f>
        <v>0</v>
      </c>
      <c r="DG100" s="122">
        <f>ROUND(IF(ISERROR(DAVERAGE(_xlnm.Database,FILESTAT!DG$3,bfy2003_)),0,DAVERAGE(_xlnm.Database,FILESTAT!DG$3,bfy2003_)),0)</f>
        <v>3</v>
      </c>
      <c r="DH100" s="122">
        <f>ROUND(IF(ISERROR(DAVERAGE(_xlnm.Database,FILESTAT!DH$3,bfy2003_)),0,DAVERAGE(_xlnm.Database,FILESTAT!DH$3,bfy2003_)),0)</f>
        <v>1</v>
      </c>
      <c r="DI100" s="122">
        <f>ROUND(IF(ISERROR(DAVERAGE(_xlnm.Database,FILESTAT!DI$3,bfy2003_)),0,DAVERAGE(_xlnm.Database,FILESTAT!DI$3,bfy2003_)),0)</f>
        <v>1</v>
      </c>
      <c r="DJ100" s="122">
        <f>ROUND(IF(ISERROR(DAVERAGE(_xlnm.Database,FILESTAT!DJ$3,bfy2003_)),0,DAVERAGE(_xlnm.Database,FILESTAT!DJ$3,bfy2003_)),0)</f>
        <v>1</v>
      </c>
      <c r="DK100" s="122"/>
      <c r="DL100" s="122">
        <f>ROUND(IF(ISERROR(DAVERAGE(_xlnm.Database,FILESTAT!DL$3,bfy2003_)),0,DAVERAGE(_xlnm.Database,FILESTAT!DL$3,bfy2003_)),0)</f>
        <v>0</v>
      </c>
      <c r="DM100" s="122">
        <f>ROUND(IF(ISERROR(DAVERAGE(_xlnm.Database,FILESTAT!DM$3,bfy2003_)),0,DAVERAGE(_xlnm.Database,FILESTAT!DM$3,bfy2003_)),0)</f>
        <v>1</v>
      </c>
      <c r="DN100" s="122">
        <f>ROUND(IF(ISERROR(DAVERAGE(_xlnm.Database,FILESTAT!DN$3,bfy2003_)),0,DAVERAGE(_xlnm.Database,FILESTAT!DN$3,bfy2003_)),0)</f>
        <v>0</v>
      </c>
      <c r="DO100" s="122">
        <f>ROUND(IF(ISERROR(DAVERAGE(_xlnm.Database,FILESTAT!DO$3,bfy2003_)),0,DAVERAGE(_xlnm.Database,FILESTAT!DO$3,bfy2003_)),0)</f>
        <v>1</v>
      </c>
      <c r="DP100" s="122">
        <f>ROUND(IF(ISERROR(DAVERAGE(_xlnm.Database,FILESTAT!DP$3,bfy2003_)),0,DAVERAGE(_xlnm.Database,FILESTAT!DP$3,bfy2003_)),0)</f>
        <v>0</v>
      </c>
      <c r="DQ100" s="122">
        <f>ROUND(IF(ISERROR(DAVERAGE(_xlnm.Database,FILESTAT!DQ$3,bfy2003_)),0,DAVERAGE(_xlnm.Database,FILESTAT!DQ$3,bfy2003_)),0)</f>
        <v>0</v>
      </c>
      <c r="DR100" s="122"/>
      <c r="DS100" s="122">
        <f>ROUND(IF(ISERROR(DAVERAGE(_xlnm.Database,FILESTAT!DS$3,bfy2003_)),0,DAVERAGE(_xlnm.Database,FILESTAT!DS$3,bfy2003_)),0)</f>
        <v>2</v>
      </c>
      <c r="DT100" s="122">
        <f>ROUND(IF(ISERROR(DAVERAGE(_xlnm.Database,FILESTAT!DT$3,bfy2003_)),0,DAVERAGE(_xlnm.Database,FILESTAT!DT$3,bfy2003_)),0)</f>
        <v>4</v>
      </c>
      <c r="DU100" s="122">
        <f>ROUND(IF(ISERROR(DAVERAGE(_xlnm.Database,FILESTAT!DU$3,bfy2003_)),0,DAVERAGE(_xlnm.Database,FILESTAT!DU$3,bfy2003_)),0)</f>
        <v>2</v>
      </c>
      <c r="DV100" s="127">
        <f t="shared" si="218"/>
        <v>60</v>
      </c>
      <c r="DW100" s="128"/>
    </row>
    <row r="101" spans="1:127" s="111" customFormat="1">
      <c r="A101" s="228">
        <v>2004</v>
      </c>
      <c r="B101" s="24"/>
      <c r="C101" s="121">
        <f>ROUND(IF(ISERROR(DAVERAGE(_xlnm.Database,FILESTAT!C$3,bfy2004_)),0,DAVERAGE(_xlnm.Database,FILESTAT!C$3,bfy2004_)),0)</f>
        <v>2</v>
      </c>
      <c r="D101" s="122">
        <f>ROUND(IF(ISERROR(DAVERAGE(_xlnm.Database,FILESTAT!D$3,bfy2004_)),0,DAVERAGE(_xlnm.Database,FILESTAT!D$3,bfy2004_)),0)</f>
        <v>18</v>
      </c>
      <c r="E101" s="122">
        <f>ROUND(IF(ISERROR(DAVERAGE(_xlnm.Database,FILESTAT!E$3,bfy2004_)),0,DAVERAGE(_xlnm.Database,FILESTAT!E$3,bfy2004_)),0)</f>
        <v>1</v>
      </c>
      <c r="F101" s="122">
        <f>ROUND(IF(ISERROR(DAVERAGE(_xlnm.Database,FILESTAT!F$3,bfy2004_)),0,DAVERAGE(_xlnm.Database,FILESTAT!F$3,bfy2004_)),0)</f>
        <v>0</v>
      </c>
      <c r="G101" s="122">
        <f>ROUND(IF(ISERROR(DAVERAGE(_xlnm.Database,FILESTAT!G$3,bfy2004_)),0,DAVERAGE(_xlnm.Database,FILESTAT!G$3,bfy2004_)),0)</f>
        <v>1</v>
      </c>
      <c r="H101" s="122">
        <f>ROUND(IF(ISERROR(DAVERAGE(_xlnm.Database,FILESTAT!H$3,bfy2004_)),0,DAVERAGE(_xlnm.Database,FILESTAT!H$3,bfy2004_)),0)</f>
        <v>1</v>
      </c>
      <c r="I101" s="122">
        <f>ROUND(IF(ISERROR(DAVERAGE(_xlnm.Database,FILESTAT!I$3,bfy2004_)),0,DAVERAGE(_xlnm.Database,FILESTAT!I$3,bfy2004_)),0)</f>
        <v>0</v>
      </c>
      <c r="J101" s="122">
        <f>ROUND(IF(ISERROR(DAVERAGE(_xlnm.Database,FILESTAT!J$3,bfy2004_)),0,DAVERAGE(_xlnm.Database,FILESTAT!J$3,bfy2004_)),0)</f>
        <v>9</v>
      </c>
      <c r="K101" s="122">
        <f>ROUND(IF(ISERROR(DAVERAGE(_xlnm.Database,FILESTAT!K$3,bfy2004_)),0,DAVERAGE(_xlnm.Database,FILESTAT!K$3,bfy2004_)),0)</f>
        <v>1</v>
      </c>
      <c r="L101" s="122">
        <f>ROUND(IF(ISERROR(DAVERAGE(_xlnm.Database,FILESTAT!L$3,bfy2004_)),0,DAVERAGE(_xlnm.Database,FILESTAT!L$3,bfy2004_)),0)</f>
        <v>0</v>
      </c>
      <c r="M101" s="122">
        <f>ROUND(IF(ISERROR(DAVERAGE(_xlnm.Database,FILESTAT!M$3,bfy2004_)),0,DAVERAGE(_xlnm.Database,FILESTAT!M$3,bfy2004_)),0)</f>
        <v>0</v>
      </c>
      <c r="N101" s="122">
        <f>ROUND(IF(ISERROR(DAVERAGE(_xlnm.Database,FILESTAT!N$3,bfy2004_)),0,DAVERAGE(_xlnm.Database,FILESTAT!N$3,bfy2004_)),0)</f>
        <v>0</v>
      </c>
      <c r="O101" s="122">
        <f>ROUND(IF(ISERROR(DAVERAGE(_xlnm.Database,FILESTAT!O$3,bfy2004_)),0,DAVERAGE(_xlnm.Database,FILESTAT!O$3,bfy2004_)),0)</f>
        <v>3</v>
      </c>
      <c r="P101" s="122">
        <f>ROUND(IF(ISERROR(DAVERAGE(_xlnm.Database,FILESTAT!P$3,bfy2004_)),0,DAVERAGE(_xlnm.Database,FILESTAT!P$3,bfy2004_)),0)</f>
        <v>1</v>
      </c>
      <c r="Q101" s="122">
        <f>ROUND(IF(ISERROR(DAVERAGE(_xlnm.Database,FILESTAT!Q$3,bfy2004_)),0,DAVERAGE(_xlnm.Database,FILESTAT!Q$3,bfy2004_)),0)</f>
        <v>0</v>
      </c>
      <c r="R101" s="123">
        <f>ROUND(IF(ISERROR(DAVERAGE(_xlnm.Database,FILESTAT!R$3,bfy2004_)),0,DAVERAGE(_xlnm.Database,FILESTAT!R$3,bfy2004_)),0)</f>
        <v>1</v>
      </c>
      <c r="S101" s="120">
        <f t="shared" si="216"/>
        <v>38</v>
      </c>
      <c r="T101" s="122">
        <f>ROUND(IF(ISERROR(DAVERAGE(_xlnm.Database,FILESTAT!T$3,bfy2004_)),0,DAVERAGE(_xlnm.Database,FILESTAT!T$3,bfy2004_)),0)</f>
        <v>0</v>
      </c>
      <c r="U101" s="122">
        <f>ROUND(IF(ISERROR(DAVERAGE(_xlnm.Database,FILESTAT!U$3,bfy2004_)),0,DAVERAGE(_xlnm.Database,FILESTAT!U$3,bfy2004_)),0)</f>
        <v>16</v>
      </c>
      <c r="V101" s="122"/>
      <c r="W101" s="122">
        <f>ROUND(IF(ISERROR(DAVERAGE(_xlnm.Database,FILESTAT!W$3,bfy2004_)),0,DAVERAGE(_xlnm.Database,FILESTAT!W$3,bfy2004_)),0)</f>
        <v>0</v>
      </c>
      <c r="X101" s="123">
        <f>ROUND(IF(ISERROR(DAVERAGE(_xlnm.Database,FILESTAT!X$3,bfy2004_)),0,DAVERAGE(_xlnm.Database,FILESTAT!X$3,bfy2004_)),0)</f>
        <v>0</v>
      </c>
      <c r="Z101" s="121">
        <f>ROUND(IF(ISERROR(DAVERAGE(_xlnm.Database,FILESTAT!Z$3,bfy2004_)),0,DAVERAGE(_xlnm.Database,FILESTAT!Z$3,bfy2004_)),0)</f>
        <v>1836053</v>
      </c>
      <c r="AA101" s="122">
        <f>ROUND(IF(ISERROR(DAVERAGE(_xlnm.Database,FILESTAT!AA$3,bfy2004_)),0,DAVERAGE(_xlnm.Database,FILESTAT!AA$3,bfy2004_)),0)</f>
        <v>0</v>
      </c>
      <c r="AB101" s="122"/>
      <c r="AC101" s="121">
        <f>ROUND(IF(ISERROR(DAVERAGE(_xlnm.Database,FILESTAT!AC$3,bfy2004_)),0,DAVERAGE(_xlnm.Database,FILESTAT!AC$3,bfy2004_)),0)</f>
        <v>666304</v>
      </c>
      <c r="AD101" s="122">
        <f>ROUND(IF(ISERROR(DAVERAGE(_xlnm.Database,FILESTAT!AD$3,bfy2004_)),0,DAVERAGE(_xlnm.Database,FILESTAT!AD$3,bfy2004_)),0)</f>
        <v>0</v>
      </c>
      <c r="AE101" s="120">
        <f t="shared" si="217"/>
        <v>666304</v>
      </c>
      <c r="AG101" s="121">
        <f>ROUND(IF(ISERROR(DAVERAGE(_xlnm.Database,FILESTAT!AG$3,bfy2004_)),0,DAVERAGE(_xlnm.Database,FILESTAT!AG$3,bfy2004_)),0)</f>
        <v>64</v>
      </c>
      <c r="AH101" s="122">
        <f>ROUND(IF(ISERROR(DAVERAGE(_xlnm.Database,FILESTAT!AH$3,bfy2004_)),0,DAVERAGE(_xlnm.Database,FILESTAT!AH$3,bfy2004_)),0)</f>
        <v>47</v>
      </c>
      <c r="AI101" s="122">
        <f>ROUND(IF(ISERROR(DAVERAGE(_xlnm.Database,FILESTAT!AI$3,bfy2004_)),0,DAVERAGE(_xlnm.Database,FILESTAT!AI$3,bfy2004_)),0)</f>
        <v>123</v>
      </c>
      <c r="AJ101" s="123">
        <f>ROUND(IF(ISERROR(DAVERAGE(_xlnm.Database,FILESTAT!AJ$3,bfy2004_)),0,DAVERAGE(_xlnm.Database,FILESTAT!AJ$3,bfy2004_)),0)</f>
        <v>0</v>
      </c>
      <c r="AL101" s="121">
        <f>ROUND(IF(ISERROR(DAVERAGE(_xlnm.Database,FILESTAT!AL$3,bfy2004_)),0,DAVERAGE(_xlnm.Database,FILESTAT!AL$3,bfy2004_)),0)</f>
        <v>0</v>
      </c>
      <c r="AM101" s="122">
        <f>ROUND(IF(ISERROR(DAVERAGE(_xlnm.Database,FILESTAT!AM$3,bfy2004_)),0,DAVERAGE(_xlnm.Database,FILESTAT!AM$3,bfy2004_)),0)</f>
        <v>64</v>
      </c>
      <c r="AN101" s="120">
        <f t="shared" si="219"/>
        <v>64</v>
      </c>
      <c r="AO101" s="122">
        <f>ROUND(IF(ISERROR(DAVERAGE(_xlnm.Database,FILESTAT!AO$3,bfy2004_)),0,DAVERAGE(_xlnm.Database,FILESTAT!AO$3,bfy2004_)),0)</f>
        <v>0</v>
      </c>
      <c r="AP101" s="122">
        <f>ROUND(IF(ISERROR(DAVERAGE(_xlnm.Database,FILESTAT!AP$3,bfy2004_)),0,DAVERAGE(_xlnm.Database,FILESTAT!AP$3,bfy2004_)),0)</f>
        <v>0</v>
      </c>
      <c r="AQ101" s="120">
        <f t="shared" si="220"/>
        <v>0</v>
      </c>
      <c r="AR101" s="122">
        <f>ROUND(IF(ISERROR(DAVERAGE(_xlnm.Database,FILESTAT!AR$3,bfy2004_)),0,DAVERAGE(_xlnm.Database,FILESTAT!AR$3,bfy2004_)),0)</f>
        <v>155</v>
      </c>
      <c r="AS101" s="122">
        <f>ROUND(IF(ISERROR(DAVERAGE(_xlnm.Database,FILESTAT!AS$3,bfy2004_)),0,DAVERAGE(_xlnm.Database,FILESTAT!AS$3,bfy2004_)),0)</f>
        <v>46</v>
      </c>
      <c r="AT101" s="122">
        <f>ROUND(IF(ISERROR(DAVERAGE(_xlnm.Database,FILESTAT!AT$3,bfy2004_)),0,DAVERAGE(_xlnm.Database,FILESTAT!AT$3,bfy2004_)),0)</f>
        <v>84</v>
      </c>
      <c r="AU101" s="122">
        <f>ROUND(IF(ISERROR(DAVERAGE(_xlnm.Database,FILESTAT!AU$3,bfy2004_)),0,DAVERAGE(_xlnm.Database,FILESTAT!AU$3,bfy2004_)),0)</f>
        <v>20</v>
      </c>
      <c r="AV101" s="123">
        <f>ROUND(IF(ISERROR(DAVERAGE(_xlnm.Database,FILESTAT!AV$3,bfy2004_)),0,DAVERAGE(_xlnm.Database,FILESTAT!AV$3,bfy2004_)),0)</f>
        <v>166</v>
      </c>
      <c r="AW101"/>
      <c r="AX101" s="356"/>
      <c r="AY101"/>
      <c r="BA101" s="121">
        <f>ROUND(IF(ISERROR(DAVERAGE(_xlnm.Database,FILESTAT!BA$3,bfy2004_)),0,DAVERAGE(_xlnm.Database,FILESTAT!BA$3,bfy2004_)),0)</f>
        <v>1746</v>
      </c>
      <c r="BB101" s="122">
        <f>ROUND(IF(ISERROR(DAVERAGE(_xlnm.Database,FILESTAT!BB$3,bfy2004_)),0,DAVERAGE(_xlnm.Database,FILESTAT!BB$3,bfy2004_)),0)</f>
        <v>30211213</v>
      </c>
      <c r="BC101" s="122">
        <f>ROUND(IF(ISERROR(DAVERAGE(_xlnm.Database,FILESTAT!BC$3,bfy2004_)),0,DAVERAGE(_xlnm.Database,FILESTAT!BC$3,bfy2004_)),0)</f>
        <v>0</v>
      </c>
      <c r="BD101" s="122"/>
      <c r="BE101" s="122">
        <f>ROUND(IF(ISERROR(DAVERAGE(_xlnm.Database,FILESTAT!BE$3,bfy2004_)),0,DAVERAGE(_xlnm.Database,FILESTAT!BE$3,bfy2004_)),0)</f>
        <v>51</v>
      </c>
      <c r="BF101" s="122">
        <f>ROUND(IF(ISERROR(DAVERAGE(_xlnm.Database,FILESTAT!BF$3,bfy2004_)),0,DAVERAGE(_xlnm.Database,FILESTAT!BF$3,bfy2004_)),0)</f>
        <v>4</v>
      </c>
      <c r="BG101" s="122">
        <f>ROUND(IF(ISERROR(DAVERAGE(_xlnm.Database,FILESTAT!BG$3,bfy2004_)),0,DAVERAGE(_xlnm.Database,FILESTAT!BG$3,bfy2004_)),0)</f>
        <v>2</v>
      </c>
      <c r="BH101" s="122"/>
      <c r="BI101" s="122">
        <f>ROUND(IF(ISERROR(DAVERAGE(_xlnm.Database,FILESTAT!BI$3,bfy2004_)),0,DAVERAGE(_xlnm.Database,FILESTAT!BI$3,bfy2004_)),0)</f>
        <v>1484750</v>
      </c>
      <c r="BJ101" s="122"/>
      <c r="BK101" s="122"/>
      <c r="BL101" s="122"/>
      <c r="BM101" s="123">
        <f>ROUND(IF(ISERROR(DAVERAGE(_xlnm.Database,FILESTAT!BM$3,bfy2004_)),0,DAVERAGE(_xlnm.Database,FILESTAT!BM$3,bfy2004_)),0)</f>
        <v>0</v>
      </c>
      <c r="BO101" s="121">
        <f>ROUND(IF(ISERROR(DAVERAGE(_xlnm.Database,FILESTAT!BO$3,bfy2004_)),0,DAVERAGE(_xlnm.Database,FILESTAT!BO$3,bfy2004_)),0)</f>
        <v>0</v>
      </c>
      <c r="BP101" s="123">
        <f>ROUND(IF(ISERROR(DAVERAGE(_xlnm.Database,FILESTAT!BP$3,bfy2004_)),0,DAVERAGE(_xlnm.Database,FILESTAT!BP$3,bfy2004_)),0)</f>
        <v>155</v>
      </c>
      <c r="BR101" s="252"/>
      <c r="BS101" s="179"/>
      <c r="BT101" s="251"/>
      <c r="BV101" s="121">
        <f>ROUND(IF(ISERROR(DAVERAGE(_xlnm.Database,FILESTAT!BV$3,bfy2004_)),0,DAVERAGE(_xlnm.Database,FILESTAT!BV$3,bfy2004_)),0)</f>
        <v>1</v>
      </c>
      <c r="BW101" s="122">
        <f>ROUND(IF(ISERROR(DAVERAGE(_xlnm.Database,FILESTAT!BW$3,bfy2004_)),0,DAVERAGE(_xlnm.Database,FILESTAT!BW$3,bfy2004_)),0)</f>
        <v>1</v>
      </c>
      <c r="BX101" s="122">
        <f>ROUND(IF(ISERROR(DAVERAGE(_xlnm.Database,FILESTAT!BX$3,bfy2004_)),0,DAVERAGE(_xlnm.Database,FILESTAT!BX$3,bfy2004_)),0)</f>
        <v>1</v>
      </c>
      <c r="BY101" s="122">
        <f>ROUND(IF(ISERROR(DAVERAGE(_xlnm.Database,FILESTAT!BY$3,bfy2004_)),0,DAVERAGE(_xlnm.Database,FILESTAT!BY$3,bfy2004_)),0)</f>
        <v>0</v>
      </c>
      <c r="BZ101" s="122">
        <f>ROUND(IF(ISERROR(DAVERAGE(_xlnm.Database,FILESTAT!BZ$3,bfy2004_)),0,DAVERAGE(_xlnm.Database,FILESTAT!BZ$3,bfy2004_)),0)</f>
        <v>0</v>
      </c>
      <c r="CA101" s="122">
        <f>ROUND(IF(ISERROR(DAVERAGE(_xlnm.Database,FILESTAT!CA$3,bfy2004_)),0,DAVERAGE(_xlnm.Database,FILESTAT!CA$3,bfy2004_)),0)</f>
        <v>0</v>
      </c>
      <c r="CB101" s="122">
        <f>ROUND(IF(ISERROR(DAVERAGE(_xlnm.Database,FILESTAT!CB$3,bfy2004_)),0,DAVERAGE(_xlnm.Database,FILESTAT!CB$3,bfy2004_)),0)</f>
        <v>0</v>
      </c>
      <c r="CC101" s="122"/>
      <c r="CD101" s="122">
        <f>ROUND(IF(ISERROR(DAVERAGE(_xlnm.Database,FILESTAT!CD$3,bfy2004_)),0,DAVERAGE(_xlnm.Database,FILESTAT!CD$3,bfy2004_)),0)</f>
        <v>4</v>
      </c>
      <c r="CE101" s="122">
        <f>ROUND(IF(ISERROR(DAVERAGE(_xlnm.Database,FILESTAT!CE$3,bfy2004_)),0,DAVERAGE(_xlnm.Database,FILESTAT!CE$3,bfy2004_)),0)</f>
        <v>0</v>
      </c>
      <c r="CF101" s="122">
        <f>ROUND(IF(ISERROR(DAVERAGE(_xlnm.Database,FILESTAT!CF$3,bfy2004_)),0,DAVERAGE(_xlnm.Database,FILESTAT!CF$3,bfy2004_)),0)</f>
        <v>0</v>
      </c>
      <c r="CG101" s="122">
        <f>ROUND(IF(ISERROR(DAVERAGE(_xlnm.Database,FILESTAT!CG$3,bfy2004_)),0,DAVERAGE(_xlnm.Database,FILESTAT!CG$3,bfy2004_)),0)</f>
        <v>0</v>
      </c>
      <c r="CH101" s="122">
        <f>ROUND(IF(ISERROR(DAVERAGE(_xlnm.Database,FILESTAT!CH$3,bfy2004_)),0,DAVERAGE(_xlnm.Database,FILESTAT!CH$3,bfy2004_)),0)</f>
        <v>0</v>
      </c>
      <c r="CI101" s="122">
        <f>ROUND(IF(ISERROR(DAVERAGE(_xlnm.Database,FILESTAT!CI$3,bfy2004_)),0,DAVERAGE(_xlnm.Database,FILESTAT!CI$3,bfy2004_)),0)</f>
        <v>2</v>
      </c>
      <c r="CJ101" s="122">
        <f>ROUND(IF(ISERROR(DAVERAGE(_xlnm.Database,FILESTAT!CJ$3,bfy2004_)),0,DAVERAGE(_xlnm.Database,FILESTAT!CJ$3,bfy2004_)),0)</f>
        <v>5</v>
      </c>
      <c r="CK101" s="122"/>
      <c r="CL101" s="122"/>
      <c r="CM101" s="122">
        <f>ROUND(IF(ISERROR(DAVERAGE(_xlnm.Database,FILESTAT!CM$3,bfy2004_)),0,DAVERAGE(_xlnm.Database,FILESTAT!CM$3,bfy2004_)),0)</f>
        <v>0</v>
      </c>
      <c r="CN101" s="122">
        <f>ROUND(IF(ISERROR(DAVERAGE(_xlnm.Database,FILESTAT!CN$3,bfy2004_)),0,DAVERAGE(_xlnm.Database,FILESTAT!CN$3,bfy2004_)),0)</f>
        <v>0</v>
      </c>
      <c r="CO101" s="122">
        <f>ROUND(IF(ISERROR(DAVERAGE(_xlnm.Database,FILESTAT!CO$3,bfy2004_)),0,DAVERAGE(_xlnm.Database,FILESTAT!CO$3,bfy2004_)),0)</f>
        <v>3</v>
      </c>
      <c r="CP101" s="122"/>
      <c r="CQ101" s="122">
        <f>ROUND(IF(ISERROR(DAVERAGE(_xlnm.Database,FILESTAT!CQ$3,bfy2004_)),0,DAVERAGE(_xlnm.Database,FILESTAT!CQ$3,bfy2004_)),0)</f>
        <v>0</v>
      </c>
      <c r="CR101" s="122"/>
      <c r="CS101" s="122">
        <f>ROUND(IF(ISERROR(DAVERAGE(_xlnm.Database,FILESTAT!CS$3,bfy2004_)),0,DAVERAGE(_xlnm.Database,FILESTAT!CS$3,bfy2004_)),0)</f>
        <v>1</v>
      </c>
      <c r="CT101" s="122">
        <f>ROUND(IF(ISERROR(DAVERAGE(_xlnm.Database,FILESTAT!CT$3,bfy2004_)),0,DAVERAGE(_xlnm.Database,FILESTAT!CT$3,bfy2004_)),0)</f>
        <v>3</v>
      </c>
      <c r="CU101" s="122">
        <f>ROUND(IF(ISERROR(DAVERAGE(_xlnm.Database,FILESTAT!CU$3,bfy2004_)),0,DAVERAGE(_xlnm.Database,FILESTAT!CU$3,bfy2004_)),0)</f>
        <v>0</v>
      </c>
      <c r="CV101" s="122">
        <f>ROUND(IF(ISERROR(DAVERAGE(_xlnm.Database,FILESTAT!CV$3,bfy2004_)),0,DAVERAGE(_xlnm.Database,FILESTAT!CV$3,bfy2004_)),0)</f>
        <v>2</v>
      </c>
      <c r="CW101" s="122">
        <f>ROUND(IF(ISERROR(DAVERAGE(_xlnm.Database,FILESTAT!CW$3,bfy2004_)),0,DAVERAGE(_xlnm.Database,FILESTAT!CW$3,bfy2004_)),0)</f>
        <v>0</v>
      </c>
      <c r="CX101" s="122"/>
      <c r="CY101" s="122">
        <f>ROUND(IF(ISERROR(DAVERAGE(_xlnm.Database,FILESTAT!CY$3,bfy2004_)),0,DAVERAGE(_xlnm.Database,FILESTAT!CY$3,bfy2004_)),0)</f>
        <v>1</v>
      </c>
      <c r="CZ101" s="122">
        <f>ROUND(IF(ISERROR(DAVERAGE(_xlnm.Database,FILESTAT!CZ$3,bfy2004_)),0,DAVERAGE(_xlnm.Database,FILESTAT!CZ$3,bfy2004_)),0)</f>
        <v>0</v>
      </c>
      <c r="DA101" s="122">
        <f>ROUND(IF(ISERROR(DAVERAGE(_xlnm.Database,FILESTAT!DA$3,bfy2004_)),0,DAVERAGE(_xlnm.Database,FILESTAT!DA$3,bfy2004_)),0)</f>
        <v>0</v>
      </c>
      <c r="DB101" s="122">
        <f>ROUND(IF(ISERROR(DAVERAGE(_xlnm.Database,FILESTAT!DB$3,bfy2004_)),0,DAVERAGE(_xlnm.Database,FILESTAT!DB$3,bfy2004_)),0)</f>
        <v>4</v>
      </c>
      <c r="DC101" s="122">
        <f>ROUND(IF(ISERROR(DAVERAGE(_xlnm.Database,FILESTAT!DC$3,bfy2004_)),0,DAVERAGE(_xlnm.Database,FILESTAT!DC$3,bfy2004_)),0)</f>
        <v>0</v>
      </c>
      <c r="DD101" s="122">
        <f>ROUND(IF(ISERROR(DAVERAGE(_xlnm.Database,FILESTAT!DD$3,bfy2004_)),0,DAVERAGE(_xlnm.Database,FILESTAT!DD$3,bfy2004_)),0)</f>
        <v>0</v>
      </c>
      <c r="DE101" s="122">
        <f>ROUND(IF(ISERROR(DAVERAGE(_xlnm.Database,FILESTAT!DE$3,bfy2004_)),0,DAVERAGE(_xlnm.Database,FILESTAT!DE$3,bfy2004_)),0)</f>
        <v>0</v>
      </c>
      <c r="DF101" s="122">
        <f>ROUND(IF(ISERROR(DAVERAGE(_xlnm.Database,FILESTAT!DF$3,bfy2004_)),0,DAVERAGE(_xlnm.Database,FILESTAT!DF$3,bfy2004_)),0)</f>
        <v>0</v>
      </c>
      <c r="DG101" s="122">
        <f>ROUND(IF(ISERROR(DAVERAGE(_xlnm.Database,FILESTAT!DG$3,bfy2004_)),0,DAVERAGE(_xlnm.Database,FILESTAT!DG$3,bfy2004_)),0)</f>
        <v>1</v>
      </c>
      <c r="DH101" s="122">
        <f>ROUND(IF(ISERROR(DAVERAGE(_xlnm.Database,FILESTAT!DH$3,bfy2004_)),0,DAVERAGE(_xlnm.Database,FILESTAT!DH$3,bfy2004_)),0)</f>
        <v>1</v>
      </c>
      <c r="DI101" s="122">
        <f>ROUND(IF(ISERROR(DAVERAGE(_xlnm.Database,FILESTAT!DI$3,bfy2004_)),0,DAVERAGE(_xlnm.Database,FILESTAT!DI$3,bfy2004_)),0)</f>
        <v>0</v>
      </c>
      <c r="DJ101" s="122">
        <f>ROUND(IF(ISERROR(DAVERAGE(_xlnm.Database,FILESTAT!DJ$3,bfy2004_)),0,DAVERAGE(_xlnm.Database,FILESTAT!DJ$3,bfy2004_)),0)</f>
        <v>0</v>
      </c>
      <c r="DK101" s="122"/>
      <c r="DL101" s="122">
        <f>ROUND(IF(ISERROR(DAVERAGE(_xlnm.Database,FILESTAT!DL$3,bfy2004_)),0,DAVERAGE(_xlnm.Database,FILESTAT!DL$3,bfy2004_)),0)</f>
        <v>0</v>
      </c>
      <c r="DM101" s="122">
        <f>ROUND(IF(ISERROR(DAVERAGE(_xlnm.Database,FILESTAT!DM$3,bfy2004_)),0,DAVERAGE(_xlnm.Database,FILESTAT!DM$3,bfy2004_)),0)</f>
        <v>3</v>
      </c>
      <c r="DN101" s="122">
        <f>ROUND(IF(ISERROR(DAVERAGE(_xlnm.Database,FILESTAT!DN$3,bfy2004_)),0,DAVERAGE(_xlnm.Database,FILESTAT!DN$3,bfy2004_)),0)</f>
        <v>0</v>
      </c>
      <c r="DO101" s="122">
        <f>ROUND(IF(ISERROR(DAVERAGE(_xlnm.Database,FILESTAT!DO$3,bfy2004_)),0,DAVERAGE(_xlnm.Database,FILESTAT!DO$3,bfy2004_)),0)</f>
        <v>1</v>
      </c>
      <c r="DP101" s="122">
        <f>ROUND(IF(ISERROR(DAVERAGE(_xlnm.Database,FILESTAT!DP$3,bfy2004_)),0,DAVERAGE(_xlnm.Database,FILESTAT!DP$3,bfy2004_)),0)</f>
        <v>0</v>
      </c>
      <c r="DQ101" s="122">
        <f>ROUND(IF(ISERROR(DAVERAGE(_xlnm.Database,FILESTAT!DQ$3,bfy2004_)),0,DAVERAGE(_xlnm.Database,FILESTAT!DQ$3,bfy2004_)),0)</f>
        <v>0</v>
      </c>
      <c r="DR101" s="122"/>
      <c r="DS101" s="122">
        <f>ROUND(IF(ISERROR(DAVERAGE(_xlnm.Database,FILESTAT!DS$3,bfy2004_)),0,DAVERAGE(_xlnm.Database,FILESTAT!DS$3,bfy2004_)),0)</f>
        <v>1</v>
      </c>
      <c r="DT101" s="122">
        <f>ROUND(IF(ISERROR(DAVERAGE(_xlnm.Database,FILESTAT!DT$3,bfy2004_)),0,DAVERAGE(_xlnm.Database,FILESTAT!DT$3,bfy2004_)),0)</f>
        <v>2</v>
      </c>
      <c r="DU101" s="122">
        <f>ROUND(IF(ISERROR(DAVERAGE(_xlnm.Database,FILESTAT!DU$3,bfy2004_)),0,DAVERAGE(_xlnm.Database,FILESTAT!DU$3,bfy2004_)),0)</f>
        <v>1</v>
      </c>
      <c r="DV101" s="127">
        <f t="shared" si="218"/>
        <v>38</v>
      </c>
      <c r="DW101" s="128"/>
    </row>
    <row r="102" spans="1:127" s="111" customFormat="1">
      <c r="A102" s="228">
        <v>2005</v>
      </c>
      <c r="B102" s="24"/>
      <c r="C102" s="121">
        <f>ROUND(IF(ISERROR(DAVERAGE(_xlnm.Database,FILESTAT!C$3,bfy2005_)),0,DAVERAGE(_xlnm.Database,FILESTAT!C$3,bfy2005_)),0)</f>
        <v>3</v>
      </c>
      <c r="D102" s="122">
        <f>ROUND(IF(ISERROR(DAVERAGE(_xlnm.Database,FILESTAT!D$3,bfy2005_)),0,DAVERAGE(_xlnm.Database,FILESTAT!D$3,bfy2005_)),0)</f>
        <v>15</v>
      </c>
      <c r="E102" s="122">
        <f>ROUND(IF(ISERROR(DAVERAGE(_xlnm.Database,FILESTAT!E$3,bfy2005_)),0,DAVERAGE(_xlnm.Database,FILESTAT!E$3,bfy2005_)),0)</f>
        <v>1</v>
      </c>
      <c r="F102" s="122">
        <f>ROUND(IF(ISERROR(DAVERAGE(_xlnm.Database,FILESTAT!F$3,bfy2005_)),0,DAVERAGE(_xlnm.Database,FILESTAT!F$3,bfy2005_)),0)</f>
        <v>0</v>
      </c>
      <c r="G102" s="122">
        <f>ROUND(IF(ISERROR(DAVERAGE(_xlnm.Database,FILESTAT!G$3,bfy2005_)),0,DAVERAGE(_xlnm.Database,FILESTAT!G$3,bfy2005_)),0)</f>
        <v>2</v>
      </c>
      <c r="H102" s="122">
        <f>ROUND(IF(ISERROR(DAVERAGE(_xlnm.Database,FILESTAT!H$3,bfy2005_)),0,DAVERAGE(_xlnm.Database,FILESTAT!H$3,bfy2005_)),0)</f>
        <v>0</v>
      </c>
      <c r="I102" s="122">
        <f>ROUND(IF(ISERROR(DAVERAGE(_xlnm.Database,FILESTAT!I$3,bfy2005_)),0,DAVERAGE(_xlnm.Database,FILESTAT!I$3,bfy2005_)),0)</f>
        <v>0</v>
      </c>
      <c r="J102" s="122">
        <f>ROUND(IF(ISERROR(DAVERAGE(_xlnm.Database,FILESTAT!J$3,bfy2005_)),0,DAVERAGE(_xlnm.Database,FILESTAT!J$3,bfy2005_)),0)</f>
        <v>7</v>
      </c>
      <c r="K102" s="122">
        <f>ROUND(IF(ISERROR(DAVERAGE(_xlnm.Database,FILESTAT!K$3,bfy2005_)),0,DAVERAGE(_xlnm.Database,FILESTAT!K$3,bfy2005_)),0)</f>
        <v>0</v>
      </c>
      <c r="L102" s="122">
        <f>ROUND(IF(ISERROR(DAVERAGE(_xlnm.Database,FILESTAT!L$3,bfy2005_)),0,DAVERAGE(_xlnm.Database,FILESTAT!L$3,bfy2005_)),0)</f>
        <v>0</v>
      </c>
      <c r="M102" s="122">
        <f>ROUND(IF(ISERROR(DAVERAGE(_xlnm.Database,FILESTAT!M$3,bfy2005_)),0,DAVERAGE(_xlnm.Database,FILESTAT!M$3,bfy2005_)),0)</f>
        <v>0</v>
      </c>
      <c r="N102" s="122">
        <f>ROUND(IF(ISERROR(DAVERAGE(_xlnm.Database,FILESTAT!N$3,bfy2005_)),0,DAVERAGE(_xlnm.Database,FILESTAT!N$3,bfy2005_)),0)</f>
        <v>0</v>
      </c>
      <c r="O102" s="122">
        <f>ROUND(IF(ISERROR(DAVERAGE(_xlnm.Database,FILESTAT!O$3,bfy2005_)),0,DAVERAGE(_xlnm.Database,FILESTAT!O$3,bfy2005_)),0)</f>
        <v>4</v>
      </c>
      <c r="P102" s="122">
        <f>ROUND(IF(ISERROR(DAVERAGE(_xlnm.Database,FILESTAT!P$3,bfy2005_)),0,DAVERAGE(_xlnm.Database,FILESTAT!P$3,bfy2005_)),0)</f>
        <v>0</v>
      </c>
      <c r="Q102" s="122">
        <f>ROUND(IF(ISERROR(DAVERAGE(_xlnm.Database,FILESTAT!Q$3,bfy2005_)),0,DAVERAGE(_xlnm.Database,FILESTAT!Q$3,bfy2005_)),0)</f>
        <v>0</v>
      </c>
      <c r="R102" s="123">
        <f>ROUND(IF(ISERROR(DAVERAGE(_xlnm.Database,FILESTAT!R$3,bfy2005_)),0,DAVERAGE(_xlnm.Database,FILESTAT!R$3,bfy2005_)),0)</f>
        <v>0</v>
      </c>
      <c r="S102" s="120">
        <f t="shared" si="216"/>
        <v>32</v>
      </c>
      <c r="T102" s="122">
        <f>ROUND(IF(ISERROR(DAVERAGE(_xlnm.Database,FILESTAT!T$3,bfy2005_)),0,DAVERAGE(_xlnm.Database,FILESTAT!T$3,bfy2005_)),0)</f>
        <v>0</v>
      </c>
      <c r="U102" s="122">
        <f>ROUND(IF(ISERROR(DAVERAGE(_xlnm.Database,FILESTAT!U$3,bfy2005_)),0,DAVERAGE(_xlnm.Database,FILESTAT!U$3,bfy2005_)),0)</f>
        <v>15</v>
      </c>
      <c r="V102" s="122"/>
      <c r="W102" s="122">
        <f>ROUND(IF(ISERROR(DAVERAGE(_xlnm.Database,FILESTAT!W$3,bfy2005_)),0,DAVERAGE(_xlnm.Database,FILESTAT!W$3,bfy2005_)),0)</f>
        <v>0</v>
      </c>
      <c r="X102" s="123">
        <f>ROUND(IF(ISERROR(DAVERAGE(_xlnm.Database,FILESTAT!X$3,bfy2005_)),0,DAVERAGE(_xlnm.Database,FILESTAT!X$3,bfy2005_)),0)</f>
        <v>0</v>
      </c>
      <c r="Z102" s="121">
        <f>ROUND(IF(ISERROR(DAVERAGE(_xlnm.Database,FILESTAT!Z$3,bfy2005_)),0,DAVERAGE(_xlnm.Database,FILESTAT!Z$3,bfy2005_)),0)</f>
        <v>1690938</v>
      </c>
      <c r="AA102" s="122">
        <f>ROUND(IF(ISERROR(DAVERAGE(_xlnm.Database,FILESTAT!AA$3,bfy2005_)),0,DAVERAGE(_xlnm.Database,FILESTAT!AA$3,bfy2005_)),0)</f>
        <v>0</v>
      </c>
      <c r="AB102" s="122"/>
      <c r="AC102" s="121">
        <f>ROUND(IF(ISERROR(DAVERAGE(_xlnm.Database,FILESTAT!AC$3,bfy2005_)),0,DAVERAGE(_xlnm.Database,FILESTAT!AC$3,bfy2005_)),0)</f>
        <v>633551</v>
      </c>
      <c r="AD102" s="122">
        <f>ROUND(IF(ISERROR(DAVERAGE(_xlnm.Database,FILESTAT!AD$3,bfy2005_)),0,DAVERAGE(_xlnm.Database,FILESTAT!AD$3,bfy2005_)),0)</f>
        <v>0</v>
      </c>
      <c r="AE102" s="120">
        <f t="shared" si="217"/>
        <v>633551</v>
      </c>
      <c r="AG102" s="121">
        <f>ROUND(IF(ISERROR(DAVERAGE(_xlnm.Database,FILESTAT!AG$3,bfy2005_)),0,DAVERAGE(_xlnm.Database,FILESTAT!AG$3,bfy2005_)),0)</f>
        <v>60</v>
      </c>
      <c r="AH102" s="122">
        <f>ROUND(IF(ISERROR(DAVERAGE(_xlnm.Database,FILESTAT!AH$3,bfy2005_)),0,DAVERAGE(_xlnm.Database,FILESTAT!AH$3,bfy2005_)),0)</f>
        <v>44</v>
      </c>
      <c r="AI102" s="122">
        <f>ROUND(IF(ISERROR(DAVERAGE(_xlnm.Database,FILESTAT!AI$3,bfy2005_)),0,DAVERAGE(_xlnm.Database,FILESTAT!AI$3,bfy2005_)),0)</f>
        <v>116</v>
      </c>
      <c r="AJ102" s="123">
        <f>ROUND(IF(ISERROR(DAVERAGE(_xlnm.Database,FILESTAT!AJ$3,bfy2005_)),0,DAVERAGE(_xlnm.Database,FILESTAT!AJ$3,bfy2005_)),0)</f>
        <v>0</v>
      </c>
      <c r="AL102" s="121">
        <f>ROUND(IF(ISERROR(DAVERAGE(_xlnm.Database,FILESTAT!AL$3,bfy2005_)),0,DAVERAGE(_xlnm.Database,FILESTAT!AL$3,bfy2005_)),0)</f>
        <v>0</v>
      </c>
      <c r="AM102" s="122">
        <f>ROUND(IF(ISERROR(DAVERAGE(_xlnm.Database,FILESTAT!AM$3,bfy2005_)),0,DAVERAGE(_xlnm.Database,FILESTAT!AM$3,bfy2005_)),0)</f>
        <v>60</v>
      </c>
      <c r="AN102" s="120">
        <f t="shared" si="219"/>
        <v>60</v>
      </c>
      <c r="AO102" s="122">
        <f>ROUND(IF(ISERROR(DAVERAGE(_xlnm.Database,FILESTAT!AO$3,bfy2005_)),0,DAVERAGE(_xlnm.Database,FILESTAT!AO$3,bfy2005_)),0)</f>
        <v>0</v>
      </c>
      <c r="AP102" s="122">
        <f>ROUND(IF(ISERROR(DAVERAGE(_xlnm.Database,FILESTAT!AP$3,bfy2005_)),0,DAVERAGE(_xlnm.Database,FILESTAT!AP$3,bfy2005_)),0)</f>
        <v>0</v>
      </c>
      <c r="AQ102" s="120">
        <f t="shared" si="220"/>
        <v>0</v>
      </c>
      <c r="AR102" s="122">
        <f>ROUND(IF(ISERROR(DAVERAGE(_xlnm.Database,FILESTAT!AR$3,bfy2005_)),0,DAVERAGE(_xlnm.Database,FILESTAT!AR$3,bfy2005_)),0)</f>
        <v>158</v>
      </c>
      <c r="AS102" s="122">
        <f>ROUND(IF(ISERROR(DAVERAGE(_xlnm.Database,FILESTAT!AS$3,bfy2005_)),0,DAVERAGE(_xlnm.Database,FILESTAT!AS$3,bfy2005_)),0)</f>
        <v>49</v>
      </c>
      <c r="AT102" s="122">
        <f>ROUND(IF(ISERROR(DAVERAGE(_xlnm.Database,FILESTAT!AT$3,bfy2005_)),0,DAVERAGE(_xlnm.Database,FILESTAT!AT$3,bfy2005_)),0)</f>
        <v>77</v>
      </c>
      <c r="AU102" s="122">
        <f>ROUND(IF(ISERROR(DAVERAGE(_xlnm.Database,FILESTAT!AU$3,bfy2005_)),0,DAVERAGE(_xlnm.Database,FILESTAT!AU$3,bfy2005_)),0)</f>
        <v>19</v>
      </c>
      <c r="AV102" s="123">
        <f>ROUND(IF(ISERROR(DAVERAGE(_xlnm.Database,FILESTAT!AV$3,bfy2005_)),0,DAVERAGE(_xlnm.Database,FILESTAT!AV$3,bfy2005_)),0)</f>
        <v>168</v>
      </c>
      <c r="AW102"/>
      <c r="AX102" s="356"/>
      <c r="AY102"/>
      <c r="BA102" s="121">
        <f>ROUND(IF(ISERROR(DAVERAGE(_xlnm.Database,FILESTAT!BA$3,bfy2005_)),0,DAVERAGE(_xlnm.Database,FILESTAT!BA$3,bfy2005_)),0)</f>
        <v>1779</v>
      </c>
      <c r="BB102" s="122">
        <f>ROUND(IF(ISERROR(DAVERAGE(_xlnm.Database,FILESTAT!BB$3,bfy2005_)),0,DAVERAGE(_xlnm.Database,FILESTAT!BB$3,bfy2005_)),0)</f>
        <v>31349079</v>
      </c>
      <c r="BC102" s="122">
        <f>ROUND(IF(ISERROR(DAVERAGE(_xlnm.Database,FILESTAT!BC$3,bfy2005_)),0,DAVERAGE(_xlnm.Database,FILESTAT!BC$3,bfy2005_)),0)</f>
        <v>0</v>
      </c>
      <c r="BD102" s="122"/>
      <c r="BE102" s="122">
        <f>ROUND(IF(ISERROR(DAVERAGE(_xlnm.Database,FILESTAT!BE$3,bfy2005_)),0,DAVERAGE(_xlnm.Database,FILESTAT!BE$3,bfy2005_)),0)</f>
        <v>47</v>
      </c>
      <c r="BF102" s="122">
        <f>ROUND(IF(ISERROR(DAVERAGE(_xlnm.Database,FILESTAT!BF$3,bfy2005_)),0,DAVERAGE(_xlnm.Database,FILESTAT!BF$3,bfy2005_)),0)</f>
        <v>6</v>
      </c>
      <c r="BG102" s="122">
        <f>ROUND(IF(ISERROR(DAVERAGE(_xlnm.Database,FILESTAT!BG$3,bfy2005_)),0,DAVERAGE(_xlnm.Database,FILESTAT!BG$3,bfy2005_)),0)</f>
        <v>2</v>
      </c>
      <c r="BH102" s="122"/>
      <c r="BI102" s="122">
        <f>ROUND(IF(ISERROR(DAVERAGE(_xlnm.Database,FILESTAT!BI$3,bfy2005_)),0,DAVERAGE(_xlnm.Database,FILESTAT!BI$3,bfy2005_)),0)</f>
        <v>1636109</v>
      </c>
      <c r="BJ102" s="122"/>
      <c r="BK102" s="122"/>
      <c r="BL102" s="122"/>
      <c r="BM102" s="123">
        <f>ROUND(IF(ISERROR(DAVERAGE(_xlnm.Database,FILESTAT!BM$3,bfy2005_)),0,DAVERAGE(_xlnm.Database,FILESTAT!BM$3,bfy2005_)),0)</f>
        <v>0</v>
      </c>
      <c r="BO102" s="121">
        <f>ROUND(IF(ISERROR(DAVERAGE(_xlnm.Database,FILESTAT!BO$3,bfy2005_)),0,DAVERAGE(_xlnm.Database,FILESTAT!BO$3,bfy2005_)),0)</f>
        <v>0</v>
      </c>
      <c r="BP102" s="123">
        <f>ROUND(IF(ISERROR(DAVERAGE(_xlnm.Database,FILESTAT!BP$3,bfy2005_)),0,DAVERAGE(_xlnm.Database,FILESTAT!BP$3,bfy2005_)),0)</f>
        <v>155</v>
      </c>
      <c r="BR102" s="252"/>
      <c r="BS102" s="179"/>
      <c r="BT102" s="251"/>
      <c r="BV102" s="121">
        <f>ROUND(IF(ISERROR(DAVERAGE(_xlnm.Database,FILESTAT!BV$3,bfy2005_)),0,DAVERAGE(_xlnm.Database,FILESTAT!BV$3,bfy2005_)),0)</f>
        <v>1</v>
      </c>
      <c r="BW102" s="122">
        <f>ROUND(IF(ISERROR(DAVERAGE(_xlnm.Database,FILESTAT!BW$3,bfy2005_)),0,DAVERAGE(_xlnm.Database,FILESTAT!BW$3,bfy2005_)),0)</f>
        <v>1</v>
      </c>
      <c r="BX102" s="122">
        <f>ROUND(IF(ISERROR(DAVERAGE(_xlnm.Database,FILESTAT!BX$3,bfy2005_)),0,DAVERAGE(_xlnm.Database,FILESTAT!BX$3,bfy2005_)),0)</f>
        <v>0</v>
      </c>
      <c r="BY102" s="122">
        <f>ROUND(IF(ISERROR(DAVERAGE(_xlnm.Database,FILESTAT!BY$3,bfy2005_)),0,DAVERAGE(_xlnm.Database,FILESTAT!BY$3,bfy2005_)),0)</f>
        <v>0</v>
      </c>
      <c r="BZ102" s="122">
        <f>ROUND(IF(ISERROR(DAVERAGE(_xlnm.Database,FILESTAT!BZ$3,bfy2005_)),0,DAVERAGE(_xlnm.Database,FILESTAT!BZ$3,bfy2005_)),0)</f>
        <v>0</v>
      </c>
      <c r="CA102" s="122">
        <f>ROUND(IF(ISERROR(DAVERAGE(_xlnm.Database,FILESTAT!CA$3,bfy2005_)),0,DAVERAGE(_xlnm.Database,FILESTAT!CA$3,bfy2005_)),0)</f>
        <v>0</v>
      </c>
      <c r="CB102" s="122">
        <f>ROUND(IF(ISERROR(DAVERAGE(_xlnm.Database,FILESTAT!CB$3,bfy2005_)),0,DAVERAGE(_xlnm.Database,FILESTAT!CB$3,bfy2005_)),0)</f>
        <v>0</v>
      </c>
      <c r="CC102" s="122"/>
      <c r="CD102" s="122">
        <f>ROUND(IF(ISERROR(DAVERAGE(_xlnm.Database,FILESTAT!CD$3,bfy2005_)),0,DAVERAGE(_xlnm.Database,FILESTAT!CD$3,bfy2005_)),0)</f>
        <v>3</v>
      </c>
      <c r="CE102" s="122">
        <f>ROUND(IF(ISERROR(DAVERAGE(_xlnm.Database,FILESTAT!CE$3,bfy2005_)),0,DAVERAGE(_xlnm.Database,FILESTAT!CE$3,bfy2005_)),0)</f>
        <v>0</v>
      </c>
      <c r="CF102" s="122">
        <f>ROUND(IF(ISERROR(DAVERAGE(_xlnm.Database,FILESTAT!CF$3,bfy2005_)),0,DAVERAGE(_xlnm.Database,FILESTAT!CF$3,bfy2005_)),0)</f>
        <v>0</v>
      </c>
      <c r="CG102" s="122">
        <f>ROUND(IF(ISERROR(DAVERAGE(_xlnm.Database,FILESTAT!CG$3,bfy2005_)),0,DAVERAGE(_xlnm.Database,FILESTAT!CG$3,bfy2005_)),0)</f>
        <v>0</v>
      </c>
      <c r="CH102" s="122">
        <f>ROUND(IF(ISERROR(DAVERAGE(_xlnm.Database,FILESTAT!CH$3,bfy2005_)),0,DAVERAGE(_xlnm.Database,FILESTAT!CH$3,bfy2005_)),0)</f>
        <v>0</v>
      </c>
      <c r="CI102" s="122">
        <f>ROUND(IF(ISERROR(DAVERAGE(_xlnm.Database,FILESTAT!CI$3,bfy2005_)),0,DAVERAGE(_xlnm.Database,FILESTAT!CI$3,bfy2005_)),0)</f>
        <v>2</v>
      </c>
      <c r="CJ102" s="122">
        <f>ROUND(IF(ISERROR(DAVERAGE(_xlnm.Database,FILESTAT!CJ$3,bfy2005_)),0,DAVERAGE(_xlnm.Database,FILESTAT!CJ$3,bfy2005_)),0)</f>
        <v>4</v>
      </c>
      <c r="CK102" s="122"/>
      <c r="CL102" s="122"/>
      <c r="CM102" s="122">
        <f>ROUND(IF(ISERROR(DAVERAGE(_xlnm.Database,FILESTAT!CM$3,bfy2005_)),0,DAVERAGE(_xlnm.Database,FILESTAT!CM$3,bfy2005_)),0)</f>
        <v>0</v>
      </c>
      <c r="CN102" s="122">
        <f>ROUND(IF(ISERROR(DAVERAGE(_xlnm.Database,FILESTAT!CN$3,bfy2005_)),0,DAVERAGE(_xlnm.Database,FILESTAT!CN$3,bfy2005_)),0)</f>
        <v>0</v>
      </c>
      <c r="CO102" s="122">
        <f>ROUND(IF(ISERROR(DAVERAGE(_xlnm.Database,FILESTAT!CO$3,bfy2005_)),0,DAVERAGE(_xlnm.Database,FILESTAT!CO$3,bfy2005_)),0)</f>
        <v>4</v>
      </c>
      <c r="CP102" s="122"/>
      <c r="CQ102" s="122">
        <f>ROUND(IF(ISERROR(DAVERAGE(_xlnm.Database,FILESTAT!CQ$3,bfy2005_)),0,DAVERAGE(_xlnm.Database,FILESTAT!CQ$3,bfy2005_)),0)</f>
        <v>0</v>
      </c>
      <c r="CR102" s="122"/>
      <c r="CS102" s="122">
        <f>ROUND(IF(ISERROR(DAVERAGE(_xlnm.Database,FILESTAT!CS$3,bfy2005_)),0,DAVERAGE(_xlnm.Database,FILESTAT!CS$3,bfy2005_)),0)</f>
        <v>0</v>
      </c>
      <c r="CT102" s="122">
        <f>ROUND(IF(ISERROR(DAVERAGE(_xlnm.Database,FILESTAT!CT$3,bfy2005_)),0,DAVERAGE(_xlnm.Database,FILESTAT!CT$3,bfy2005_)),0)</f>
        <v>3</v>
      </c>
      <c r="CU102" s="122">
        <f>ROUND(IF(ISERROR(DAVERAGE(_xlnm.Database,FILESTAT!CU$3,bfy2005_)),0,DAVERAGE(_xlnm.Database,FILESTAT!CU$3,bfy2005_)),0)</f>
        <v>0</v>
      </c>
      <c r="CV102" s="122">
        <f>ROUND(IF(ISERROR(DAVERAGE(_xlnm.Database,FILESTAT!CV$3,bfy2005_)),0,DAVERAGE(_xlnm.Database,FILESTAT!CV$3,bfy2005_)),0)</f>
        <v>2</v>
      </c>
      <c r="CW102" s="122">
        <f>ROUND(IF(ISERROR(DAVERAGE(_xlnm.Database,FILESTAT!CW$3,bfy2005_)),0,DAVERAGE(_xlnm.Database,FILESTAT!CW$3,bfy2005_)),0)</f>
        <v>0</v>
      </c>
      <c r="CX102" s="122"/>
      <c r="CY102" s="122">
        <f>ROUND(IF(ISERROR(DAVERAGE(_xlnm.Database,FILESTAT!CY$3,bfy2005_)),0,DAVERAGE(_xlnm.Database,FILESTAT!CY$3,bfy2005_)),0)</f>
        <v>1</v>
      </c>
      <c r="CZ102" s="122">
        <f>ROUND(IF(ISERROR(DAVERAGE(_xlnm.Database,FILESTAT!CZ$3,bfy2005_)),0,DAVERAGE(_xlnm.Database,FILESTAT!CZ$3,bfy2005_)),0)</f>
        <v>0</v>
      </c>
      <c r="DA102" s="122">
        <f>ROUND(IF(ISERROR(DAVERAGE(_xlnm.Database,FILESTAT!DA$3,bfy2005_)),0,DAVERAGE(_xlnm.Database,FILESTAT!DA$3,bfy2005_)),0)</f>
        <v>0</v>
      </c>
      <c r="DB102" s="122">
        <f>ROUND(IF(ISERROR(DAVERAGE(_xlnm.Database,FILESTAT!DB$3,bfy2005_)),0,DAVERAGE(_xlnm.Database,FILESTAT!DB$3,bfy2005_)),0)</f>
        <v>2</v>
      </c>
      <c r="DC102" s="122">
        <f>ROUND(IF(ISERROR(DAVERAGE(_xlnm.Database,FILESTAT!DC$3,bfy2005_)),0,DAVERAGE(_xlnm.Database,FILESTAT!DC$3,bfy2005_)),0)</f>
        <v>0</v>
      </c>
      <c r="DD102" s="122">
        <f>ROUND(IF(ISERROR(DAVERAGE(_xlnm.Database,FILESTAT!DD$3,bfy2005_)),0,DAVERAGE(_xlnm.Database,FILESTAT!DD$3,bfy2005_)),0)</f>
        <v>0</v>
      </c>
      <c r="DE102" s="122">
        <f>ROUND(IF(ISERROR(DAVERAGE(_xlnm.Database,FILESTAT!DE$3,bfy2005_)),0,DAVERAGE(_xlnm.Database,FILESTAT!DE$3,bfy2005_)),0)</f>
        <v>0</v>
      </c>
      <c r="DF102" s="122">
        <f>ROUND(IF(ISERROR(DAVERAGE(_xlnm.Database,FILESTAT!DF$3,bfy2005_)),0,DAVERAGE(_xlnm.Database,FILESTAT!DF$3,bfy2005_)),0)</f>
        <v>0</v>
      </c>
      <c r="DG102" s="122">
        <f>ROUND(IF(ISERROR(DAVERAGE(_xlnm.Database,FILESTAT!DG$3,bfy2005_)),0,DAVERAGE(_xlnm.Database,FILESTAT!DG$3,bfy2005_)),0)</f>
        <v>2</v>
      </c>
      <c r="DH102" s="122">
        <f>ROUND(IF(ISERROR(DAVERAGE(_xlnm.Database,FILESTAT!DH$3,bfy2005_)),0,DAVERAGE(_xlnm.Database,FILESTAT!DH$3,bfy2005_)),0)</f>
        <v>1</v>
      </c>
      <c r="DI102" s="122">
        <f>ROUND(IF(ISERROR(DAVERAGE(_xlnm.Database,FILESTAT!DI$3,bfy2005_)),0,DAVERAGE(_xlnm.Database,FILESTAT!DI$3,bfy2005_)),0)</f>
        <v>0</v>
      </c>
      <c r="DJ102" s="122">
        <f>ROUND(IF(ISERROR(DAVERAGE(_xlnm.Database,FILESTAT!DJ$3,bfy2005_)),0,DAVERAGE(_xlnm.Database,FILESTAT!DJ$3,bfy2005_)),0)</f>
        <v>1</v>
      </c>
      <c r="DK102" s="122"/>
      <c r="DL102" s="122">
        <f>ROUND(IF(ISERROR(DAVERAGE(_xlnm.Database,FILESTAT!DL$3,bfy2005_)),0,DAVERAGE(_xlnm.Database,FILESTAT!DL$3,bfy2005_)),0)</f>
        <v>0</v>
      </c>
      <c r="DM102" s="122">
        <f>ROUND(IF(ISERROR(DAVERAGE(_xlnm.Database,FILESTAT!DM$3,bfy2005_)),0,DAVERAGE(_xlnm.Database,FILESTAT!DM$3,bfy2005_)),0)</f>
        <v>1</v>
      </c>
      <c r="DN102" s="122">
        <f>ROUND(IF(ISERROR(DAVERAGE(_xlnm.Database,FILESTAT!DN$3,bfy2005_)),0,DAVERAGE(_xlnm.Database,FILESTAT!DN$3,bfy2005_)),0)</f>
        <v>0</v>
      </c>
      <c r="DO102" s="122">
        <f>ROUND(IF(ISERROR(DAVERAGE(_xlnm.Database,FILESTAT!DO$3,bfy2005_)),0,DAVERAGE(_xlnm.Database,FILESTAT!DO$3,bfy2005_)),0)</f>
        <v>0</v>
      </c>
      <c r="DP102" s="122">
        <f>ROUND(IF(ISERROR(DAVERAGE(_xlnm.Database,FILESTAT!DP$3,bfy2005_)),0,DAVERAGE(_xlnm.Database,FILESTAT!DP$3,bfy2005_)),0)</f>
        <v>0</v>
      </c>
      <c r="DQ102" s="122">
        <f>ROUND(IF(ISERROR(DAVERAGE(_xlnm.Database,FILESTAT!DQ$3,bfy2005_)),0,DAVERAGE(_xlnm.Database,FILESTAT!DQ$3,bfy2005_)),0)</f>
        <v>0</v>
      </c>
      <c r="DR102" s="122"/>
      <c r="DS102" s="122">
        <f>ROUND(IF(ISERROR(DAVERAGE(_xlnm.Database,FILESTAT!DS$3,bfy2005_)),0,DAVERAGE(_xlnm.Database,FILESTAT!DS$3,bfy2005_)),0)</f>
        <v>2</v>
      </c>
      <c r="DT102" s="122">
        <f>ROUND(IF(ISERROR(DAVERAGE(_xlnm.Database,FILESTAT!DT$3,bfy2005_)),0,DAVERAGE(_xlnm.Database,FILESTAT!DT$3,bfy2005_)),0)</f>
        <v>2</v>
      </c>
      <c r="DU102" s="122">
        <f>ROUND(IF(ISERROR(DAVERAGE(_xlnm.Database,FILESTAT!DU$3,bfy2005_)),0,DAVERAGE(_xlnm.Database,FILESTAT!DU$3,bfy2005_)),0)</f>
        <v>0</v>
      </c>
      <c r="DV102" s="127">
        <f t="shared" si="218"/>
        <v>32</v>
      </c>
      <c r="DW102" s="128"/>
    </row>
    <row r="103" spans="1:127" s="111" customFormat="1">
      <c r="A103" s="228">
        <v>2006</v>
      </c>
      <c r="B103" s="24"/>
      <c r="C103" s="121">
        <f>ROUND(IF(ISERROR(DAVERAGE(_xlnm.Database,FILESTAT!C$3,bfy2006_)),0,DAVERAGE(_xlnm.Database,FILESTAT!C$3,bfy2006_)),0)</f>
        <v>2</v>
      </c>
      <c r="D103" s="122">
        <f>ROUND(IF(ISERROR(DAVERAGE(_xlnm.Database,FILESTAT!D$3,bfy2006_)),0,DAVERAGE(_xlnm.Database,FILESTAT!D$3,bfy2006_)),0)</f>
        <v>13</v>
      </c>
      <c r="E103" s="122">
        <f>ROUND(IF(ISERROR(DAVERAGE(_xlnm.Database,FILESTAT!E$3,bfy2006_)),0,DAVERAGE(_xlnm.Database,FILESTAT!E$3,bfy2006_)),0)</f>
        <v>1</v>
      </c>
      <c r="F103" s="122">
        <f>ROUND(IF(ISERROR(DAVERAGE(_xlnm.Database,FILESTAT!F$3,bfy2006_)),0,DAVERAGE(_xlnm.Database,FILESTAT!F$3,bfy2006_)),0)</f>
        <v>1</v>
      </c>
      <c r="G103" s="122">
        <f>ROUND(IF(ISERROR(DAVERAGE(_xlnm.Database,FILESTAT!G$3,bfy2006_)),0,DAVERAGE(_xlnm.Database,FILESTAT!G$3,bfy2006_)),0)</f>
        <v>2</v>
      </c>
      <c r="H103" s="122">
        <f>ROUND(IF(ISERROR(DAVERAGE(_xlnm.Database,FILESTAT!H$3,bfy2006_)),0,DAVERAGE(_xlnm.Database,FILESTAT!H$3,bfy2006_)),0)</f>
        <v>0</v>
      </c>
      <c r="I103" s="122">
        <f>ROUND(IF(ISERROR(DAVERAGE(_xlnm.Database,FILESTAT!I$3,bfy2006_)),0,DAVERAGE(_xlnm.Database,FILESTAT!I$3,bfy2006_)),0)</f>
        <v>0</v>
      </c>
      <c r="J103" s="122">
        <f>ROUND(IF(ISERROR(DAVERAGE(_xlnm.Database,FILESTAT!J$3,bfy2006_)),0,DAVERAGE(_xlnm.Database,FILESTAT!J$3,bfy2006_)),0)</f>
        <v>10</v>
      </c>
      <c r="K103" s="122">
        <f>ROUND(IF(ISERROR(DAVERAGE(_xlnm.Database,FILESTAT!K$3,bfy2006_)),0,DAVERAGE(_xlnm.Database,FILESTAT!K$3,bfy2006_)),0)</f>
        <v>0</v>
      </c>
      <c r="L103" s="122">
        <f>ROUND(IF(ISERROR(DAVERAGE(_xlnm.Database,FILESTAT!L$3,bfy2006_)),0,DAVERAGE(_xlnm.Database,FILESTAT!L$3,bfy2006_)),0)</f>
        <v>0</v>
      </c>
      <c r="M103" s="122">
        <f>ROUND(IF(ISERROR(DAVERAGE(_xlnm.Database,FILESTAT!M$3,bfy2006_)),0,DAVERAGE(_xlnm.Database,FILESTAT!M$3,bfy2006_)),0)</f>
        <v>0</v>
      </c>
      <c r="N103" s="122">
        <f>ROUND(IF(ISERROR(DAVERAGE(_xlnm.Database,FILESTAT!N$3,bfy2006_)),0,DAVERAGE(_xlnm.Database,FILESTAT!N$3,bfy2006_)),0)</f>
        <v>0</v>
      </c>
      <c r="O103" s="122">
        <f>ROUND(IF(ISERROR(DAVERAGE(_xlnm.Database,FILESTAT!O$3,bfy2006_)),0,DAVERAGE(_xlnm.Database,FILESTAT!O$3,bfy2006_)),0)</f>
        <v>7</v>
      </c>
      <c r="P103" s="122">
        <f>ROUND(IF(ISERROR(DAVERAGE(_xlnm.Database,FILESTAT!P$3,bfy2006_)),0,DAVERAGE(_xlnm.Database,FILESTAT!P$3,bfy2006_)),0)</f>
        <v>0</v>
      </c>
      <c r="Q103" s="122">
        <f>ROUND(IF(ISERROR(DAVERAGE(_xlnm.Database,FILESTAT!Q$3,bfy2006_)),0,DAVERAGE(_xlnm.Database,FILESTAT!Q$3,bfy2006_)),0)</f>
        <v>0</v>
      </c>
      <c r="R103" s="123">
        <f>ROUND(IF(ISERROR(DAVERAGE(_xlnm.Database,FILESTAT!R$3,bfy2006_)),0,DAVERAGE(_xlnm.Database,FILESTAT!R$3,bfy2006_)),0)</f>
        <v>0</v>
      </c>
      <c r="S103" s="120">
        <f t="shared" si="216"/>
        <v>36</v>
      </c>
      <c r="T103" s="122">
        <f>ROUND(IF(ISERROR(DAVERAGE(_xlnm.Database,FILESTAT!T$3,bfy2006_)),0,DAVERAGE(_xlnm.Database,FILESTAT!T$3,bfy2006_)),0)</f>
        <v>0</v>
      </c>
      <c r="U103" s="122">
        <f>ROUND(IF(ISERROR(DAVERAGE(_xlnm.Database,FILESTAT!U$3,bfy2006_)),0,DAVERAGE(_xlnm.Database,FILESTAT!U$3,bfy2006_)),0)</f>
        <v>14</v>
      </c>
      <c r="V103" s="122"/>
      <c r="W103" s="122">
        <f>ROUND(IF(ISERROR(DAVERAGE(_xlnm.Database,FILESTAT!W$3,bfy2006_)),0,DAVERAGE(_xlnm.Database,FILESTAT!W$3,bfy2006_)),0)</f>
        <v>0</v>
      </c>
      <c r="X103" s="123">
        <f>ROUND(IF(ISERROR(DAVERAGE(_xlnm.Database,FILESTAT!X$3,bfy2006_)),0,DAVERAGE(_xlnm.Database,FILESTAT!X$3,bfy2006_)),0)</f>
        <v>0</v>
      </c>
      <c r="Z103" s="121">
        <f>ROUND(IF(ISERROR(DAVERAGE(_xlnm.Database,FILESTAT!Z$3,bfy2006_)),0,DAVERAGE(_xlnm.Database,FILESTAT!Z$3,bfy2006_)),0)</f>
        <v>1876197</v>
      </c>
      <c r="AA103" s="122">
        <f>ROUND(IF(ISERROR(DAVERAGE(_xlnm.Database,FILESTAT!AA$3,bfy2006_)),0,DAVERAGE(_xlnm.Database,FILESTAT!AA$3,bfy2006_)),0)</f>
        <v>0</v>
      </c>
      <c r="AB103" s="122"/>
      <c r="AC103" s="121">
        <f>ROUND(IF(ISERROR(DAVERAGE(_xlnm.Database,FILESTAT!AC$3,bfy2006_)),0,DAVERAGE(_xlnm.Database,FILESTAT!AC$3,bfy2006_)),0)</f>
        <v>640073</v>
      </c>
      <c r="AD103" s="122">
        <f>ROUND(IF(ISERROR(DAVERAGE(_xlnm.Database,FILESTAT!AD$3,bfy2006_)),0,DAVERAGE(_xlnm.Database,FILESTAT!AD$3,bfy2006_)),0)</f>
        <v>0</v>
      </c>
      <c r="AE103" s="120">
        <f t="shared" si="217"/>
        <v>640073</v>
      </c>
      <c r="AG103" s="121">
        <f>ROUND(IF(ISERROR(DAVERAGE(_xlnm.Database,FILESTAT!AG$3,bfy2006_)),0,DAVERAGE(_xlnm.Database,FILESTAT!AG$3,bfy2006_)),0)</f>
        <v>58</v>
      </c>
      <c r="AH103" s="122">
        <f>ROUND(IF(ISERROR(DAVERAGE(_xlnm.Database,FILESTAT!AH$3,bfy2006_)),0,DAVERAGE(_xlnm.Database,FILESTAT!AH$3,bfy2006_)),0)</f>
        <v>51</v>
      </c>
      <c r="AI103" s="122">
        <f>ROUND(IF(ISERROR(DAVERAGE(_xlnm.Database,FILESTAT!AI$3,bfy2006_)),0,DAVERAGE(_xlnm.Database,FILESTAT!AI$3,bfy2006_)),0)</f>
        <v>122</v>
      </c>
      <c r="AJ103" s="123">
        <f>ROUND(IF(ISERROR(DAVERAGE(_xlnm.Database,FILESTAT!AJ$3,bfy2006_)),0,DAVERAGE(_xlnm.Database,FILESTAT!AJ$3,bfy2006_)),0)</f>
        <v>0</v>
      </c>
      <c r="AL103" s="121">
        <f>ROUND(IF(ISERROR(DAVERAGE(_xlnm.Database,FILESTAT!AL$3,bfy2006_)),0,DAVERAGE(_xlnm.Database,FILESTAT!AL$3,bfy2006_)),0)</f>
        <v>0</v>
      </c>
      <c r="AM103" s="122">
        <f>ROUND(IF(ISERROR(DAVERAGE(_xlnm.Database,FILESTAT!AM$3,bfy2006_)),0,DAVERAGE(_xlnm.Database,FILESTAT!AM$3,bfy2006_)),0)</f>
        <v>56</v>
      </c>
      <c r="AN103" s="120">
        <f t="shared" si="219"/>
        <v>56</v>
      </c>
      <c r="AO103" s="122">
        <f>ROUND(IF(ISERROR(DAVERAGE(_xlnm.Database,FILESTAT!AO$3,bfy2006_)),0,DAVERAGE(_xlnm.Database,FILESTAT!AO$3,bfy2006_)),0)</f>
        <v>0</v>
      </c>
      <c r="AP103" s="122">
        <f>ROUND(IF(ISERROR(DAVERAGE(_xlnm.Database,FILESTAT!AP$3,bfy2006_)),0,DAVERAGE(_xlnm.Database,FILESTAT!AP$3,bfy2006_)),0)</f>
        <v>0</v>
      </c>
      <c r="AQ103" s="120">
        <f t="shared" si="220"/>
        <v>0</v>
      </c>
      <c r="AR103" s="122">
        <f>ROUND(IF(ISERROR(DAVERAGE(_xlnm.Database,FILESTAT!AR$3,bfy2006_)),0,DAVERAGE(_xlnm.Database,FILESTAT!AR$3,bfy2006_)),0)</f>
        <v>150</v>
      </c>
      <c r="AS103" s="122">
        <f>ROUND(IF(ISERROR(DAVERAGE(_xlnm.Database,FILESTAT!AS$3,bfy2006_)),0,DAVERAGE(_xlnm.Database,FILESTAT!AS$3,bfy2006_)),0)</f>
        <v>54</v>
      </c>
      <c r="AT103" s="122">
        <f>ROUND(IF(ISERROR(DAVERAGE(_xlnm.Database,FILESTAT!AT$3,bfy2006_)),0,DAVERAGE(_xlnm.Database,FILESTAT!AT$3,bfy2006_)),0)</f>
        <v>88</v>
      </c>
      <c r="AU103" s="122">
        <f>ROUND(IF(ISERROR(DAVERAGE(_xlnm.Database,FILESTAT!AU$3,bfy2006_)),0,DAVERAGE(_xlnm.Database,FILESTAT!AU$3,bfy2006_)),0)</f>
        <v>21</v>
      </c>
      <c r="AV103" s="123">
        <f>ROUND(IF(ISERROR(DAVERAGE(_xlnm.Database,FILESTAT!AV$3,bfy2006_)),0,DAVERAGE(_xlnm.Database,FILESTAT!AV$3,bfy2006_)),0)</f>
        <v>193</v>
      </c>
      <c r="AW103"/>
      <c r="AX103" s="356"/>
      <c r="AY103"/>
      <c r="BA103" s="121">
        <f>ROUND(IF(ISERROR(DAVERAGE(_xlnm.Database,FILESTAT!BA$3,bfy2006_)),0,DAVERAGE(_xlnm.Database,FILESTAT!BA$3,bfy2006_)),0)</f>
        <v>1814</v>
      </c>
      <c r="BB103" s="122">
        <f>ROUND(IF(ISERROR(DAVERAGE(_xlnm.Database,FILESTAT!BB$3,bfy2006_)),0,DAVERAGE(_xlnm.Database,FILESTAT!BB$3,bfy2006_)),0)</f>
        <v>38619655</v>
      </c>
      <c r="BC103" s="122">
        <f>ROUND(IF(ISERROR(DAVERAGE(_xlnm.Database,FILESTAT!BC$3,bfy2006_)),0,DAVERAGE(_xlnm.Database,FILESTAT!BC$3,bfy2006_)),0)</f>
        <v>0</v>
      </c>
      <c r="BD103" s="122"/>
      <c r="BE103" s="122">
        <f>ROUND(IF(ISERROR(DAVERAGE(_xlnm.Database,FILESTAT!BE$3,bfy2006_)),0,DAVERAGE(_xlnm.Database,FILESTAT!BE$3,bfy2006_)),0)</f>
        <v>57</v>
      </c>
      <c r="BF103" s="122">
        <f>ROUND(IF(ISERROR(DAVERAGE(_xlnm.Database,FILESTAT!BF$3,bfy2006_)),0,DAVERAGE(_xlnm.Database,FILESTAT!BF$3,bfy2006_)),0)</f>
        <v>4</v>
      </c>
      <c r="BG103" s="122">
        <f>ROUND(IF(ISERROR(DAVERAGE(_xlnm.Database,FILESTAT!BG$3,bfy2006_)),0,DAVERAGE(_xlnm.Database,FILESTAT!BG$3,bfy2006_)),0)</f>
        <v>2</v>
      </c>
      <c r="BH103" s="122"/>
      <c r="BI103" s="122">
        <f>ROUND(IF(ISERROR(DAVERAGE(_xlnm.Database,FILESTAT!BI$3,bfy2006_)),0,DAVERAGE(_xlnm.Database,FILESTAT!BI$3,bfy2006_)),0)</f>
        <v>2319290</v>
      </c>
      <c r="BJ103" s="122"/>
      <c r="BK103" s="122"/>
      <c r="BL103" s="122"/>
      <c r="BM103" s="123">
        <f>ROUND(IF(ISERROR(DAVERAGE(_xlnm.Database,FILESTAT!BM$3,bfy2006_)),0,DAVERAGE(_xlnm.Database,FILESTAT!BM$3,bfy2006_)),0)</f>
        <v>0</v>
      </c>
      <c r="BO103" s="121">
        <f>ROUND(IF(ISERROR(DAVERAGE(_xlnm.Database,FILESTAT!BO$3,bfy2006_)),0,DAVERAGE(_xlnm.Database,FILESTAT!BO$3,bfy2006_)),0)</f>
        <v>0</v>
      </c>
      <c r="BP103" s="123">
        <f>ROUND(IF(ISERROR(DAVERAGE(_xlnm.Database,FILESTAT!BP$3,bfy2006_)),0,DAVERAGE(_xlnm.Database,FILESTAT!BP$3,bfy2006_)),0)</f>
        <v>157</v>
      </c>
      <c r="BR103" s="252"/>
      <c r="BS103" s="179"/>
      <c r="BT103" s="251"/>
      <c r="BV103" s="121">
        <f>ROUND(IF(ISERROR(DAVERAGE(_xlnm.Database,FILESTAT!BV$3,bfy2006_)),0,DAVERAGE(_xlnm.Database,FILESTAT!BV$3,bfy2006_)),0)</f>
        <v>1</v>
      </c>
      <c r="BW103" s="122">
        <f>ROUND(IF(ISERROR(DAVERAGE(_xlnm.Database,FILESTAT!BW$3,bfy2006_)),0,DAVERAGE(_xlnm.Database,FILESTAT!BW$3,bfy2006_)),0)</f>
        <v>2</v>
      </c>
      <c r="BX103" s="122">
        <f>ROUND(IF(ISERROR(DAVERAGE(_xlnm.Database,FILESTAT!BX$3,bfy2006_)),0,DAVERAGE(_xlnm.Database,FILESTAT!BX$3,bfy2006_)),0)</f>
        <v>0</v>
      </c>
      <c r="BY103" s="122">
        <f>ROUND(IF(ISERROR(DAVERAGE(_xlnm.Database,FILESTAT!BY$3,bfy2006_)),0,DAVERAGE(_xlnm.Database,FILESTAT!BY$3,bfy2006_)),0)</f>
        <v>0</v>
      </c>
      <c r="BZ103" s="122">
        <f>ROUND(IF(ISERROR(DAVERAGE(_xlnm.Database,FILESTAT!BZ$3,bfy2006_)),0,DAVERAGE(_xlnm.Database,FILESTAT!BZ$3,bfy2006_)),0)</f>
        <v>0</v>
      </c>
      <c r="CA103" s="122">
        <f>ROUND(IF(ISERROR(DAVERAGE(_xlnm.Database,FILESTAT!CA$3,bfy2006_)),0,DAVERAGE(_xlnm.Database,FILESTAT!CA$3,bfy2006_)),0)</f>
        <v>0</v>
      </c>
      <c r="CB103" s="122">
        <f>ROUND(IF(ISERROR(DAVERAGE(_xlnm.Database,FILESTAT!CB$3,bfy2006_)),0,DAVERAGE(_xlnm.Database,FILESTAT!CB$3,bfy2006_)),0)</f>
        <v>0</v>
      </c>
      <c r="CC103" s="122"/>
      <c r="CD103" s="122">
        <f>ROUND(IF(ISERROR(DAVERAGE(_xlnm.Database,FILESTAT!CD$3,bfy2006_)),0,DAVERAGE(_xlnm.Database,FILESTAT!CD$3,bfy2006_)),0)</f>
        <v>4</v>
      </c>
      <c r="CE103" s="122">
        <f>ROUND(IF(ISERROR(DAVERAGE(_xlnm.Database,FILESTAT!CE$3,bfy2006_)),0,DAVERAGE(_xlnm.Database,FILESTAT!CE$3,bfy2006_)),0)</f>
        <v>0</v>
      </c>
      <c r="CF103" s="122">
        <f>ROUND(IF(ISERROR(DAVERAGE(_xlnm.Database,FILESTAT!CF$3,bfy2006_)),0,DAVERAGE(_xlnm.Database,FILESTAT!CF$3,bfy2006_)),0)</f>
        <v>1</v>
      </c>
      <c r="CG103" s="122">
        <f>ROUND(IF(ISERROR(DAVERAGE(_xlnm.Database,FILESTAT!CG$3,bfy2006_)),0,DAVERAGE(_xlnm.Database,FILESTAT!CG$3,bfy2006_)),0)</f>
        <v>1</v>
      </c>
      <c r="CH103" s="122">
        <f>ROUND(IF(ISERROR(DAVERAGE(_xlnm.Database,FILESTAT!CH$3,bfy2006_)),0,DAVERAGE(_xlnm.Database,FILESTAT!CH$3,bfy2006_)),0)</f>
        <v>0</v>
      </c>
      <c r="CI103" s="122">
        <f>ROUND(IF(ISERROR(DAVERAGE(_xlnm.Database,FILESTAT!CI$3,bfy2006_)),0,DAVERAGE(_xlnm.Database,FILESTAT!CI$3,bfy2006_)),0)</f>
        <v>2</v>
      </c>
      <c r="CJ103" s="122">
        <f>ROUND(IF(ISERROR(DAVERAGE(_xlnm.Database,FILESTAT!CJ$3,bfy2006_)),0,DAVERAGE(_xlnm.Database,FILESTAT!CJ$3,bfy2006_)),0)</f>
        <v>3</v>
      </c>
      <c r="CK103" s="122"/>
      <c r="CL103" s="122"/>
      <c r="CM103" s="122">
        <f>ROUND(IF(ISERROR(DAVERAGE(_xlnm.Database,FILESTAT!CM$3,bfy2006_)),0,DAVERAGE(_xlnm.Database,FILESTAT!CM$3,bfy2006_)),0)</f>
        <v>0</v>
      </c>
      <c r="CN103" s="122">
        <f>ROUND(IF(ISERROR(DAVERAGE(_xlnm.Database,FILESTAT!CN$3,bfy2006_)),0,DAVERAGE(_xlnm.Database,FILESTAT!CN$3,bfy2006_)),0)</f>
        <v>0</v>
      </c>
      <c r="CO103" s="122">
        <f>ROUND(IF(ISERROR(DAVERAGE(_xlnm.Database,FILESTAT!CO$3,bfy2006_)),0,DAVERAGE(_xlnm.Database,FILESTAT!CO$3,bfy2006_)),0)</f>
        <v>3</v>
      </c>
      <c r="CP103" s="122"/>
      <c r="CQ103" s="122">
        <f>ROUND(IF(ISERROR(DAVERAGE(_xlnm.Database,FILESTAT!CQ$3,bfy2006_)),0,DAVERAGE(_xlnm.Database,FILESTAT!CQ$3,bfy2006_)),0)</f>
        <v>0</v>
      </c>
      <c r="CR103" s="122"/>
      <c r="CS103" s="122">
        <f>ROUND(IF(ISERROR(DAVERAGE(_xlnm.Database,FILESTAT!CS$3,bfy2006_)),0,DAVERAGE(_xlnm.Database,FILESTAT!CS$3,bfy2006_)),0)</f>
        <v>1</v>
      </c>
      <c r="CT103" s="122">
        <f>ROUND(IF(ISERROR(DAVERAGE(_xlnm.Database,FILESTAT!CT$3,bfy2006_)),0,DAVERAGE(_xlnm.Database,FILESTAT!CT$3,bfy2006_)),0)</f>
        <v>2</v>
      </c>
      <c r="CU103" s="122">
        <f>ROUND(IF(ISERROR(DAVERAGE(_xlnm.Database,FILESTAT!CU$3,bfy2006_)),0,DAVERAGE(_xlnm.Database,FILESTAT!CU$3,bfy2006_)),0)</f>
        <v>0</v>
      </c>
      <c r="CV103" s="122">
        <f>ROUND(IF(ISERROR(DAVERAGE(_xlnm.Database,FILESTAT!CV$3,bfy2006_)),0,DAVERAGE(_xlnm.Database,FILESTAT!CV$3,bfy2006_)),0)</f>
        <v>2</v>
      </c>
      <c r="CW103" s="122">
        <f>ROUND(IF(ISERROR(DAVERAGE(_xlnm.Database,FILESTAT!CW$3,bfy2006_)),0,DAVERAGE(_xlnm.Database,FILESTAT!CW$3,bfy2006_)),0)</f>
        <v>0</v>
      </c>
      <c r="CX103" s="122"/>
      <c r="CY103" s="122">
        <f>ROUND(IF(ISERROR(DAVERAGE(_xlnm.Database,FILESTAT!CY$3,bfy2006_)),0,DAVERAGE(_xlnm.Database,FILESTAT!CY$3,bfy2006_)),0)</f>
        <v>1</v>
      </c>
      <c r="CZ103" s="122">
        <f>ROUND(IF(ISERROR(DAVERAGE(_xlnm.Database,FILESTAT!CZ$3,bfy2006_)),0,DAVERAGE(_xlnm.Database,FILESTAT!CZ$3,bfy2006_)),0)</f>
        <v>0</v>
      </c>
      <c r="DA103" s="122">
        <f>ROUND(IF(ISERROR(DAVERAGE(_xlnm.Database,FILESTAT!DA$3,bfy2006_)),0,DAVERAGE(_xlnm.Database,FILESTAT!DA$3,bfy2006_)),0)</f>
        <v>0</v>
      </c>
      <c r="DB103" s="122">
        <f>ROUND(IF(ISERROR(DAVERAGE(_xlnm.Database,FILESTAT!DB$3,bfy2006_)),0,DAVERAGE(_xlnm.Database,FILESTAT!DB$3,bfy2006_)),0)</f>
        <v>4</v>
      </c>
      <c r="DC103" s="122">
        <f>ROUND(IF(ISERROR(DAVERAGE(_xlnm.Database,FILESTAT!DC$3,bfy2006_)),0,DAVERAGE(_xlnm.Database,FILESTAT!DC$3,bfy2006_)),0)</f>
        <v>0</v>
      </c>
      <c r="DD103" s="122">
        <f>ROUND(IF(ISERROR(DAVERAGE(_xlnm.Database,FILESTAT!DD$3,bfy2006_)),0,DAVERAGE(_xlnm.Database,FILESTAT!DD$3,bfy2006_)),0)</f>
        <v>0</v>
      </c>
      <c r="DE103" s="122">
        <f>ROUND(IF(ISERROR(DAVERAGE(_xlnm.Database,FILESTAT!DE$3,bfy2006_)),0,DAVERAGE(_xlnm.Database,FILESTAT!DE$3,bfy2006_)),0)</f>
        <v>0</v>
      </c>
      <c r="DF103" s="122">
        <f>ROUND(IF(ISERROR(DAVERAGE(_xlnm.Database,FILESTAT!DF$3,bfy2006_)),0,DAVERAGE(_xlnm.Database,FILESTAT!DF$3,bfy2006_)),0)</f>
        <v>0</v>
      </c>
      <c r="DG103" s="122">
        <f>ROUND(IF(ISERROR(DAVERAGE(_xlnm.Database,FILESTAT!DG$3,bfy2006_)),0,DAVERAGE(_xlnm.Database,FILESTAT!DG$3,bfy2006_)),0)</f>
        <v>1</v>
      </c>
      <c r="DH103" s="122">
        <f>ROUND(IF(ISERROR(DAVERAGE(_xlnm.Database,FILESTAT!DH$3,bfy2006_)),0,DAVERAGE(_xlnm.Database,FILESTAT!DH$3,bfy2006_)),0)</f>
        <v>0</v>
      </c>
      <c r="DI103" s="122">
        <f>ROUND(IF(ISERROR(DAVERAGE(_xlnm.Database,FILESTAT!DI$3,bfy2006_)),0,DAVERAGE(_xlnm.Database,FILESTAT!DI$3,bfy2006_)),0)</f>
        <v>0</v>
      </c>
      <c r="DJ103" s="122">
        <f>ROUND(IF(ISERROR(DAVERAGE(_xlnm.Database,FILESTAT!DJ$3,bfy2006_)),0,DAVERAGE(_xlnm.Database,FILESTAT!DJ$3,bfy2006_)),0)</f>
        <v>0</v>
      </c>
      <c r="DK103" s="122"/>
      <c r="DL103" s="122">
        <f>ROUND(IF(ISERROR(DAVERAGE(_xlnm.Database,FILESTAT!DL$3,bfy2006_)),0,DAVERAGE(_xlnm.Database,FILESTAT!DL$3,bfy2006_)),0)</f>
        <v>0</v>
      </c>
      <c r="DM103" s="122">
        <f>ROUND(IF(ISERROR(DAVERAGE(_xlnm.Database,FILESTAT!DM$3,bfy2006_)),0,DAVERAGE(_xlnm.Database,FILESTAT!DM$3,bfy2006_)),0)</f>
        <v>1</v>
      </c>
      <c r="DN103" s="122">
        <f>ROUND(IF(ISERROR(DAVERAGE(_xlnm.Database,FILESTAT!DN$3,bfy2006_)),0,DAVERAGE(_xlnm.Database,FILESTAT!DN$3,bfy2006_)),0)</f>
        <v>0</v>
      </c>
      <c r="DO103" s="122">
        <f>ROUND(IF(ISERROR(DAVERAGE(_xlnm.Database,FILESTAT!DO$3,bfy2006_)),0,DAVERAGE(_xlnm.Database,FILESTAT!DO$3,bfy2006_)),0)</f>
        <v>1</v>
      </c>
      <c r="DP103" s="122">
        <f>ROUND(IF(ISERROR(DAVERAGE(_xlnm.Database,FILESTAT!DP$3,bfy2006_)),0,DAVERAGE(_xlnm.Database,FILESTAT!DP$3,bfy2006_)),0)</f>
        <v>0</v>
      </c>
      <c r="DQ103" s="122">
        <f>ROUND(IF(ISERROR(DAVERAGE(_xlnm.Database,FILESTAT!DQ$3,bfy2006_)),0,DAVERAGE(_xlnm.Database,FILESTAT!DQ$3,bfy2006_)),0)</f>
        <v>0</v>
      </c>
      <c r="DR103" s="122"/>
      <c r="DS103" s="122">
        <f>ROUND(IF(ISERROR(DAVERAGE(_xlnm.Database,FILESTAT!DS$3,bfy2006_)),0,DAVERAGE(_xlnm.Database,FILESTAT!DS$3,bfy2006_)),0)</f>
        <v>3</v>
      </c>
      <c r="DT103" s="122">
        <f>ROUND(IF(ISERROR(DAVERAGE(_xlnm.Database,FILESTAT!DT$3,bfy2006_)),0,DAVERAGE(_xlnm.Database,FILESTAT!DT$3,bfy2006_)),0)</f>
        <v>1</v>
      </c>
      <c r="DU103" s="122">
        <f>ROUND(IF(ISERROR(DAVERAGE(_xlnm.Database,FILESTAT!DU$3,bfy2006_)),0,DAVERAGE(_xlnm.Database,FILESTAT!DU$3,bfy2006_)),0)</f>
        <v>0</v>
      </c>
      <c r="DV103" s="127">
        <f t="shared" si="218"/>
        <v>34</v>
      </c>
      <c r="DW103" s="128"/>
    </row>
    <row r="104" spans="1:127" s="111" customFormat="1">
      <c r="A104" s="228">
        <v>2007</v>
      </c>
      <c r="B104" s="24"/>
      <c r="C104" s="121">
        <f>ROUND(IF(ISERROR(DAVERAGE(_xlnm.Database,FILESTAT!C$3,bfy2007_)),0,DAVERAGE(_xlnm.Database,FILESTAT!C$3,bfy2007_)),0)</f>
        <v>2</v>
      </c>
      <c r="D104" s="122">
        <f>ROUND(IF(ISERROR(DAVERAGE(_xlnm.Database,FILESTAT!D$3,bfy2007_)),0,DAVERAGE(_xlnm.Database,FILESTAT!D$3,bfy2007_)),0)</f>
        <v>18</v>
      </c>
      <c r="E104" s="122">
        <f>ROUND(IF(ISERROR(DAVERAGE(_xlnm.Database,FILESTAT!E$3,bfy2007_)),0,DAVERAGE(_xlnm.Database,FILESTAT!E$3,bfy2007_)),0)</f>
        <v>1</v>
      </c>
      <c r="F104" s="122">
        <f>ROUND(IF(ISERROR(DAVERAGE(_xlnm.Database,FILESTAT!F$3,bfy2007_)),0,DAVERAGE(_xlnm.Database,FILESTAT!F$3,bfy2007_)),0)</f>
        <v>1</v>
      </c>
      <c r="G104" s="122">
        <f>ROUND(IF(ISERROR(DAVERAGE(_xlnm.Database,FILESTAT!G$3,bfy2007_)),0,DAVERAGE(_xlnm.Database,FILESTAT!G$3,bfy2007_)),0)</f>
        <v>1</v>
      </c>
      <c r="H104" s="122">
        <f>ROUND(IF(ISERROR(DAVERAGE(_xlnm.Database,FILESTAT!H$3,bfy2007_)),0,DAVERAGE(_xlnm.Database,FILESTAT!H$3,bfy2007_)),0)</f>
        <v>0</v>
      </c>
      <c r="I104" s="122">
        <f>ROUND(IF(ISERROR(DAVERAGE(_xlnm.Database,FILESTAT!I$3,bfy2007_)),0,DAVERAGE(_xlnm.Database,FILESTAT!I$3,bfy2007_)),0)</f>
        <v>0</v>
      </c>
      <c r="J104" s="122">
        <f>ROUND(IF(ISERROR(DAVERAGE(_xlnm.Database,FILESTAT!J$3,bfy2007_)),0,DAVERAGE(_xlnm.Database,FILESTAT!J$3,bfy2007_)),0)</f>
        <v>21</v>
      </c>
      <c r="K104" s="122">
        <f>ROUND(IF(ISERROR(DAVERAGE(_xlnm.Database,FILESTAT!K$3,bfy2007_)),0,DAVERAGE(_xlnm.Database,FILESTAT!K$3,bfy2007_)),0)</f>
        <v>2</v>
      </c>
      <c r="L104" s="122">
        <f>ROUND(IF(ISERROR(DAVERAGE(_xlnm.Database,FILESTAT!L$3,bfy2007_)),0,DAVERAGE(_xlnm.Database,FILESTAT!L$3,bfy2007_)),0)</f>
        <v>0</v>
      </c>
      <c r="M104" s="122">
        <f>ROUND(IF(ISERROR(DAVERAGE(_xlnm.Database,FILESTAT!M$3,bfy2007_)),0,DAVERAGE(_xlnm.Database,FILESTAT!M$3,bfy2007_)),0)</f>
        <v>0</v>
      </c>
      <c r="N104" s="122">
        <f>ROUND(IF(ISERROR(DAVERAGE(_xlnm.Database,FILESTAT!N$3,bfy2007_)),0,DAVERAGE(_xlnm.Database,FILESTAT!N$3,bfy2007_)),0)</f>
        <v>0</v>
      </c>
      <c r="O104" s="122">
        <f>ROUND(IF(ISERROR(DAVERAGE(_xlnm.Database,FILESTAT!O$3,bfy2007_)),0,DAVERAGE(_xlnm.Database,FILESTAT!O$3,bfy2007_)),0)</f>
        <v>6</v>
      </c>
      <c r="P104" s="122">
        <f>ROUND(IF(ISERROR(DAVERAGE(_xlnm.Database,FILESTAT!P$3,bfy2007_)),0,DAVERAGE(_xlnm.Database,FILESTAT!P$3,bfy2007_)),0)</f>
        <v>2</v>
      </c>
      <c r="Q104" s="122">
        <f>ROUND(IF(ISERROR(DAVERAGE(_xlnm.Database,FILESTAT!Q$3,bfy2007_)),0,DAVERAGE(_xlnm.Database,FILESTAT!Q$3,bfy2007_)),0)</f>
        <v>0</v>
      </c>
      <c r="R104" s="123">
        <f>ROUND(IF(ISERROR(DAVERAGE(_xlnm.Database,FILESTAT!R$3,bfy2007_)),0,DAVERAGE(_xlnm.Database,FILESTAT!R$3,bfy2007_)),0)</f>
        <v>0</v>
      </c>
      <c r="S104" s="120">
        <f t="shared" si="216"/>
        <v>54</v>
      </c>
      <c r="T104" s="122">
        <f>ROUND(IF(ISERROR(DAVERAGE(_xlnm.Database,FILESTAT!T$3,bfy2007_)),0,DAVERAGE(_xlnm.Database,FILESTAT!T$3,bfy2007_)),0)</f>
        <v>0</v>
      </c>
      <c r="U104" s="122">
        <f>ROUND(IF(ISERROR(DAVERAGE(_xlnm.Database,FILESTAT!U$3,bfy2007_)),0,DAVERAGE(_xlnm.Database,FILESTAT!U$3,bfy2007_)),0)</f>
        <v>16</v>
      </c>
      <c r="V104" s="122"/>
      <c r="W104" s="122">
        <f>ROUND(IF(ISERROR(DAVERAGE(_xlnm.Database,FILESTAT!W$3,bfy2007_)),0,DAVERAGE(_xlnm.Database,FILESTAT!W$3,bfy2007_)),0)</f>
        <v>0</v>
      </c>
      <c r="X104" s="123">
        <f>ROUND(IF(ISERROR(DAVERAGE(_xlnm.Database,FILESTAT!X$3,bfy2007_)),0,DAVERAGE(_xlnm.Database,FILESTAT!X$3,bfy2007_)),0)</f>
        <v>0</v>
      </c>
      <c r="Z104" s="121">
        <f>ROUND(IF(ISERROR(DAVERAGE(_xlnm.Database,FILESTAT!Z$3,bfy2007_)),0,DAVERAGE(_xlnm.Database,FILESTAT!Z$3,bfy2007_)),0)</f>
        <v>2388203</v>
      </c>
      <c r="AA104" s="122">
        <f>ROUND(IF(ISERROR(DAVERAGE(_xlnm.Database,FILESTAT!AA$3,bfy2007_)),0,DAVERAGE(_xlnm.Database,FILESTAT!AA$3,bfy2007_)),0)</f>
        <v>0</v>
      </c>
      <c r="AB104" s="122"/>
      <c r="AC104" s="121">
        <f>ROUND(IF(ISERROR(DAVERAGE(_xlnm.Database,FILESTAT!AC$3,bfy2007_)),0,DAVERAGE(_xlnm.Database,FILESTAT!AC$3,bfy2007_)),0)</f>
        <v>514718</v>
      </c>
      <c r="AD104" s="122">
        <f>ROUND(IF(ISERROR(DAVERAGE(_xlnm.Database,FILESTAT!AD$3,bfy2007_)),0,DAVERAGE(_xlnm.Database,FILESTAT!AD$3,bfy2007_)),0)</f>
        <v>0</v>
      </c>
      <c r="AE104" s="120">
        <f t="shared" si="217"/>
        <v>514718</v>
      </c>
      <c r="AG104" s="121">
        <f>ROUND(IF(ISERROR(DAVERAGE(_xlnm.Database,FILESTAT!AG$3,bfy2007_)),0,DAVERAGE(_xlnm.Database,FILESTAT!AG$3,bfy2007_)),0)</f>
        <v>77</v>
      </c>
      <c r="AH104" s="122">
        <f>ROUND(IF(ISERROR(DAVERAGE(_xlnm.Database,FILESTAT!AH$3,bfy2007_)),0,DAVERAGE(_xlnm.Database,FILESTAT!AH$3,bfy2007_)),0)</f>
        <v>63</v>
      </c>
      <c r="AI104" s="122">
        <f>ROUND(IF(ISERROR(DAVERAGE(_xlnm.Database,FILESTAT!AI$3,bfy2007_)),0,DAVERAGE(_xlnm.Database,FILESTAT!AI$3,bfy2007_)),0)</f>
        <v>152</v>
      </c>
      <c r="AJ104" s="123">
        <f>ROUND(IF(ISERROR(DAVERAGE(_xlnm.Database,FILESTAT!AJ$3,bfy2007_)),0,DAVERAGE(_xlnm.Database,FILESTAT!AJ$3,bfy2007_)),0)</f>
        <v>0</v>
      </c>
      <c r="AL104" s="121">
        <f>ROUND(IF(ISERROR(DAVERAGE(_xlnm.Database,FILESTAT!AL$3,bfy2007_)),0,DAVERAGE(_xlnm.Database,FILESTAT!AL$3,bfy2007_)),0)</f>
        <v>0</v>
      </c>
      <c r="AM104" s="122">
        <f>ROUND(IF(ISERROR(DAVERAGE(_xlnm.Database,FILESTAT!AM$3,bfy2007_)),0,DAVERAGE(_xlnm.Database,FILESTAT!AM$3,bfy2007_)),0)</f>
        <v>50</v>
      </c>
      <c r="AN104" s="120">
        <f t="shared" si="219"/>
        <v>50</v>
      </c>
      <c r="AO104" s="122">
        <f>ROUND(IF(ISERROR(DAVERAGE(_xlnm.Database,FILESTAT!AO$3,bfy2007_)),0,DAVERAGE(_xlnm.Database,FILESTAT!AO$3,bfy2007_)),0)</f>
        <v>0</v>
      </c>
      <c r="AP104" s="122">
        <f>ROUND(IF(ISERROR(DAVERAGE(_xlnm.Database,FILESTAT!AP$3,bfy2007_)),0,DAVERAGE(_xlnm.Database,FILESTAT!AP$3,bfy2007_)),0)</f>
        <v>0</v>
      </c>
      <c r="AQ104" s="120">
        <f t="shared" si="220"/>
        <v>0</v>
      </c>
      <c r="AR104" s="122">
        <f>ROUND(IF(ISERROR(DAVERAGE(_xlnm.Database,FILESTAT!AR$3,bfy2007_)),0,DAVERAGE(_xlnm.Database,FILESTAT!AR$3,bfy2007_)),0)</f>
        <v>137</v>
      </c>
      <c r="AS104" s="122">
        <f>ROUND(IF(ISERROR(DAVERAGE(_xlnm.Database,FILESTAT!AS$3,bfy2007_)),0,DAVERAGE(_xlnm.Database,FILESTAT!AS$3,bfy2007_)),0)</f>
        <v>55</v>
      </c>
      <c r="AT104" s="122">
        <f>ROUND(IF(ISERROR(DAVERAGE(_xlnm.Database,FILESTAT!AT$3,bfy2007_)),0,DAVERAGE(_xlnm.Database,FILESTAT!AT$3,bfy2007_)),0)</f>
        <v>106</v>
      </c>
      <c r="AU104" s="122">
        <f>ROUND(IF(ISERROR(DAVERAGE(_xlnm.Database,FILESTAT!AU$3,bfy2007_)),0,DAVERAGE(_xlnm.Database,FILESTAT!AU$3,bfy2007_)),0)</f>
        <v>18</v>
      </c>
      <c r="AV104" s="123">
        <f>ROUND(IF(ISERROR(DAVERAGE(_xlnm.Database,FILESTAT!AV$3,bfy2007_)),0,DAVERAGE(_xlnm.Database,FILESTAT!AV$3,bfy2007_)),0)</f>
        <v>210</v>
      </c>
      <c r="AW104"/>
      <c r="AX104" s="356"/>
      <c r="AY104"/>
      <c r="BA104" s="121">
        <f>ROUND(IF(ISERROR(DAVERAGE(_xlnm.Database,FILESTAT!BA$3,bfy2007_)),0,DAVERAGE(_xlnm.Database,FILESTAT!BA$3,bfy2007_)),0)</f>
        <v>1849</v>
      </c>
      <c r="BB104" s="122">
        <f>ROUND(IF(ISERROR(DAVERAGE(_xlnm.Database,FILESTAT!BB$3,bfy2007_)),0,DAVERAGE(_xlnm.Database,FILESTAT!BB$3,bfy2007_)),0)</f>
        <v>45643388</v>
      </c>
      <c r="BC104" s="122">
        <f>ROUND(IF(ISERROR(DAVERAGE(_xlnm.Database,FILESTAT!BC$3,bfy2007_)),0,DAVERAGE(_xlnm.Database,FILESTAT!BC$3,bfy2007_)),0)</f>
        <v>0</v>
      </c>
      <c r="BD104" s="122"/>
      <c r="BE104" s="122">
        <f>ROUND(IF(ISERROR(DAVERAGE(_xlnm.Database,FILESTAT!BE$3,bfy2007_)),0,DAVERAGE(_xlnm.Database,FILESTAT!BE$3,bfy2007_)),0)</f>
        <v>81</v>
      </c>
      <c r="BF104" s="122">
        <f>ROUND(IF(ISERROR(DAVERAGE(_xlnm.Database,FILESTAT!BF$3,bfy2007_)),0,DAVERAGE(_xlnm.Database,FILESTAT!BF$3,bfy2007_)),0)</f>
        <v>5</v>
      </c>
      <c r="BG104" s="122">
        <f>ROUND(IF(ISERROR(DAVERAGE(_xlnm.Database,FILESTAT!BG$3,bfy2007_)),0,DAVERAGE(_xlnm.Database,FILESTAT!BG$3,bfy2007_)),0)</f>
        <v>1</v>
      </c>
      <c r="BH104" s="122"/>
      <c r="BI104" s="122">
        <f>ROUND(IF(ISERROR(DAVERAGE(_xlnm.Database,FILESTAT!BI$3,bfy2007_)),0,DAVERAGE(_xlnm.Database,FILESTAT!BI$3,bfy2007_)),0)</f>
        <v>3399068</v>
      </c>
      <c r="BJ104" s="122"/>
      <c r="BK104" s="122"/>
      <c r="BL104" s="122"/>
      <c r="BM104" s="123">
        <f>ROUND(IF(ISERROR(DAVERAGE(_xlnm.Database,FILESTAT!BM$3,bfy2007_)),0,DAVERAGE(_xlnm.Database,FILESTAT!BM$3,bfy2007_)),0)</f>
        <v>0</v>
      </c>
      <c r="BO104" s="121">
        <f>ROUND(IF(ISERROR(DAVERAGE(_xlnm.Database,FILESTAT!BO$3,bfy2007_)),0,DAVERAGE(_xlnm.Database,FILESTAT!BO$3,bfy2007_)),0)</f>
        <v>0</v>
      </c>
      <c r="BP104" s="123">
        <f>ROUND(IF(ISERROR(DAVERAGE(_xlnm.Database,FILESTAT!BP$3,bfy2007_)),0,DAVERAGE(_xlnm.Database,FILESTAT!BP$3,bfy2007_)),0)</f>
        <v>161</v>
      </c>
      <c r="BR104" s="252"/>
      <c r="BS104" s="179"/>
      <c r="BT104" s="251"/>
      <c r="BV104" s="121">
        <f>ROUND(IF(ISERROR(DAVERAGE(_xlnm.Database,FILESTAT!BV$3,bfy2007_)),0,DAVERAGE(_xlnm.Database,FILESTAT!BV$3,bfy2007_)),0)</f>
        <v>1</v>
      </c>
      <c r="BW104" s="122">
        <f>ROUND(IF(ISERROR(DAVERAGE(_xlnm.Database,FILESTAT!BW$3,bfy2007_)),0,DAVERAGE(_xlnm.Database,FILESTAT!BW$3,bfy2007_)),0)</f>
        <v>2</v>
      </c>
      <c r="BX104" s="122">
        <f>ROUND(IF(ISERROR(DAVERAGE(_xlnm.Database,FILESTAT!BX$3,bfy2007_)),0,DAVERAGE(_xlnm.Database,FILESTAT!BX$3,bfy2007_)),0)</f>
        <v>1</v>
      </c>
      <c r="BY104" s="122">
        <f>ROUND(IF(ISERROR(DAVERAGE(_xlnm.Database,FILESTAT!BY$3,bfy2007_)),0,DAVERAGE(_xlnm.Database,FILESTAT!BY$3,bfy2007_)),0)</f>
        <v>0</v>
      </c>
      <c r="BZ104" s="122">
        <f>ROUND(IF(ISERROR(DAVERAGE(_xlnm.Database,FILESTAT!BZ$3,bfy2007_)),0,DAVERAGE(_xlnm.Database,FILESTAT!BZ$3,bfy2007_)),0)</f>
        <v>0</v>
      </c>
      <c r="CA104" s="122">
        <f>ROUND(IF(ISERROR(DAVERAGE(_xlnm.Database,FILESTAT!CA$3,bfy2007_)),0,DAVERAGE(_xlnm.Database,FILESTAT!CA$3,bfy2007_)),0)</f>
        <v>0</v>
      </c>
      <c r="CB104" s="122">
        <f>ROUND(IF(ISERROR(DAVERAGE(_xlnm.Database,FILESTAT!CB$3,bfy2007_)),0,DAVERAGE(_xlnm.Database,FILESTAT!CB$3,bfy2007_)),0)</f>
        <v>0</v>
      </c>
      <c r="CC104" s="122"/>
      <c r="CD104" s="122">
        <f>ROUND(IF(ISERROR(DAVERAGE(_xlnm.Database,FILESTAT!CD$3,bfy2007_)),0,DAVERAGE(_xlnm.Database,FILESTAT!CD$3,bfy2007_)),0)</f>
        <v>6</v>
      </c>
      <c r="CE104" s="122">
        <f>ROUND(IF(ISERROR(DAVERAGE(_xlnm.Database,FILESTAT!CE$3,bfy2007_)),0,DAVERAGE(_xlnm.Database,FILESTAT!CE$3,bfy2007_)),0)</f>
        <v>1</v>
      </c>
      <c r="CF104" s="122">
        <f>ROUND(IF(ISERROR(DAVERAGE(_xlnm.Database,FILESTAT!CF$3,bfy2007_)),0,DAVERAGE(_xlnm.Database,FILESTAT!CF$3,bfy2007_)),0)</f>
        <v>0</v>
      </c>
      <c r="CG104" s="122">
        <f>ROUND(IF(ISERROR(DAVERAGE(_xlnm.Database,FILESTAT!CG$3,bfy2007_)),0,DAVERAGE(_xlnm.Database,FILESTAT!CG$3,bfy2007_)),0)</f>
        <v>1</v>
      </c>
      <c r="CH104" s="122">
        <f>ROUND(IF(ISERROR(DAVERAGE(_xlnm.Database,FILESTAT!CH$3,bfy2007_)),0,DAVERAGE(_xlnm.Database,FILESTAT!CH$3,bfy2007_)),0)</f>
        <v>0</v>
      </c>
      <c r="CI104" s="122">
        <f>ROUND(IF(ISERROR(DAVERAGE(_xlnm.Database,FILESTAT!CI$3,bfy2007_)),0,DAVERAGE(_xlnm.Database,FILESTAT!CI$3,bfy2007_)),0)</f>
        <v>2</v>
      </c>
      <c r="CJ104" s="122">
        <f>ROUND(IF(ISERROR(DAVERAGE(_xlnm.Database,FILESTAT!CJ$3,bfy2007_)),0,DAVERAGE(_xlnm.Database,FILESTAT!CJ$3,bfy2007_)),0)</f>
        <v>10</v>
      </c>
      <c r="CK104" s="122"/>
      <c r="CL104" s="122"/>
      <c r="CM104" s="122">
        <f>ROUND(IF(ISERROR(DAVERAGE(_xlnm.Database,FILESTAT!CM$3,bfy2007_)),0,DAVERAGE(_xlnm.Database,FILESTAT!CM$3,bfy2007_)),0)</f>
        <v>0</v>
      </c>
      <c r="CN104" s="122">
        <f>ROUND(IF(ISERROR(DAVERAGE(_xlnm.Database,FILESTAT!CN$3,bfy2007_)),0,DAVERAGE(_xlnm.Database,FILESTAT!CN$3,bfy2007_)),0)</f>
        <v>0</v>
      </c>
      <c r="CO104" s="122">
        <f>ROUND(IF(ISERROR(DAVERAGE(_xlnm.Database,FILESTAT!CO$3,bfy2007_)),0,DAVERAGE(_xlnm.Database,FILESTAT!CO$3,bfy2007_)),0)</f>
        <v>4</v>
      </c>
      <c r="CP104" s="122"/>
      <c r="CQ104" s="122">
        <f>ROUND(IF(ISERROR(DAVERAGE(_xlnm.Database,FILESTAT!CQ$3,bfy2007_)),0,DAVERAGE(_xlnm.Database,FILESTAT!CQ$3,bfy2007_)),0)</f>
        <v>0</v>
      </c>
      <c r="CR104" s="122"/>
      <c r="CS104" s="122">
        <f>ROUND(IF(ISERROR(DAVERAGE(_xlnm.Database,FILESTAT!CS$3,bfy2007_)),0,DAVERAGE(_xlnm.Database,FILESTAT!CS$3,bfy2007_)),0)</f>
        <v>1</v>
      </c>
      <c r="CT104" s="122">
        <f>ROUND(IF(ISERROR(DAVERAGE(_xlnm.Database,FILESTAT!CT$3,bfy2007_)),0,DAVERAGE(_xlnm.Database,FILESTAT!CT$3,bfy2007_)),0)</f>
        <v>2</v>
      </c>
      <c r="CU104" s="122">
        <f>ROUND(IF(ISERROR(DAVERAGE(_xlnm.Database,FILESTAT!CU$3,bfy2007_)),0,DAVERAGE(_xlnm.Database,FILESTAT!CU$3,bfy2007_)),0)</f>
        <v>0</v>
      </c>
      <c r="CV104" s="122">
        <f>ROUND(IF(ISERROR(DAVERAGE(_xlnm.Database,FILESTAT!CV$3,bfy2007_)),0,DAVERAGE(_xlnm.Database,FILESTAT!CV$3,bfy2007_)),0)</f>
        <v>3</v>
      </c>
      <c r="CW104" s="122">
        <f>ROUND(IF(ISERROR(DAVERAGE(_xlnm.Database,FILESTAT!CW$3,bfy2007_)),0,DAVERAGE(_xlnm.Database,FILESTAT!CW$3,bfy2007_)),0)</f>
        <v>0</v>
      </c>
      <c r="CX104" s="122"/>
      <c r="CY104" s="122">
        <f>ROUND(IF(ISERROR(DAVERAGE(_xlnm.Database,FILESTAT!CY$3,bfy2007_)),0,DAVERAGE(_xlnm.Database,FILESTAT!CY$3,bfy2007_)),0)</f>
        <v>1</v>
      </c>
      <c r="CZ104" s="122">
        <f>ROUND(IF(ISERROR(DAVERAGE(_xlnm.Database,FILESTAT!CZ$3,bfy2007_)),0,DAVERAGE(_xlnm.Database,FILESTAT!CZ$3,bfy2007_)),0)</f>
        <v>0</v>
      </c>
      <c r="DA104" s="122">
        <f>ROUND(IF(ISERROR(DAVERAGE(_xlnm.Database,FILESTAT!DA$3,bfy2007_)),0,DAVERAGE(_xlnm.Database,FILESTAT!DA$3,bfy2007_)),0)</f>
        <v>0</v>
      </c>
      <c r="DB104" s="122">
        <f>ROUND(IF(ISERROR(DAVERAGE(_xlnm.Database,FILESTAT!DB$3,bfy2007_)),0,DAVERAGE(_xlnm.Database,FILESTAT!DB$3,bfy2007_)),0)</f>
        <v>5</v>
      </c>
      <c r="DC104" s="122">
        <f>ROUND(IF(ISERROR(DAVERAGE(_xlnm.Database,FILESTAT!DC$3,bfy2007_)),0,DAVERAGE(_xlnm.Database,FILESTAT!DC$3,bfy2007_)),0)</f>
        <v>0</v>
      </c>
      <c r="DD104" s="122">
        <f>ROUND(IF(ISERROR(DAVERAGE(_xlnm.Database,FILESTAT!DD$3,bfy2007_)),0,DAVERAGE(_xlnm.Database,FILESTAT!DD$3,bfy2007_)),0)</f>
        <v>0</v>
      </c>
      <c r="DE104" s="122">
        <f>ROUND(IF(ISERROR(DAVERAGE(_xlnm.Database,FILESTAT!DE$3,bfy2007_)),0,DAVERAGE(_xlnm.Database,FILESTAT!DE$3,bfy2007_)),0)</f>
        <v>0</v>
      </c>
      <c r="DF104" s="122">
        <f>ROUND(IF(ISERROR(DAVERAGE(_xlnm.Database,FILESTAT!DF$3,bfy2007_)),0,DAVERAGE(_xlnm.Database,FILESTAT!DF$3,bfy2007_)),0)</f>
        <v>0</v>
      </c>
      <c r="DG104" s="122">
        <f>ROUND(IF(ISERROR(DAVERAGE(_xlnm.Database,FILESTAT!DG$3,bfy2007_)),0,DAVERAGE(_xlnm.Database,FILESTAT!DG$3,bfy2007_)),0)</f>
        <v>3</v>
      </c>
      <c r="DH104" s="122">
        <f>ROUND(IF(ISERROR(DAVERAGE(_xlnm.Database,FILESTAT!DH$3,bfy2007_)),0,DAVERAGE(_xlnm.Database,FILESTAT!DH$3,bfy2007_)),0)</f>
        <v>1</v>
      </c>
      <c r="DI104" s="122">
        <f>ROUND(IF(ISERROR(DAVERAGE(_xlnm.Database,FILESTAT!DI$3,bfy2007_)),0,DAVERAGE(_xlnm.Database,FILESTAT!DI$3,bfy2007_)),0)</f>
        <v>0</v>
      </c>
      <c r="DJ104" s="122">
        <f>ROUND(IF(ISERROR(DAVERAGE(_xlnm.Database,FILESTAT!DJ$3,bfy2007_)),0,DAVERAGE(_xlnm.Database,FILESTAT!DJ$3,bfy2007_)),0)</f>
        <v>0</v>
      </c>
      <c r="DK104" s="122"/>
      <c r="DL104" s="122">
        <f>ROUND(IF(ISERROR(DAVERAGE(_xlnm.Database,FILESTAT!DL$3,bfy2007_)),0,DAVERAGE(_xlnm.Database,FILESTAT!DL$3,bfy2007_)),0)</f>
        <v>0</v>
      </c>
      <c r="DM104" s="122">
        <f>ROUND(IF(ISERROR(DAVERAGE(_xlnm.Database,FILESTAT!DM$3,bfy2007_)),0,DAVERAGE(_xlnm.Database,FILESTAT!DM$3,bfy2007_)),0)</f>
        <v>3</v>
      </c>
      <c r="DN104" s="122">
        <f>ROUND(IF(ISERROR(DAVERAGE(_xlnm.Database,FILESTAT!DN$3,bfy2007_)),0,DAVERAGE(_xlnm.Database,FILESTAT!DN$3,bfy2007_)),0)</f>
        <v>0</v>
      </c>
      <c r="DO104" s="122">
        <f>ROUND(IF(ISERROR(DAVERAGE(_xlnm.Database,FILESTAT!DO$3,bfy2007_)),0,DAVERAGE(_xlnm.Database,FILESTAT!DO$3,bfy2007_)),0)</f>
        <v>2</v>
      </c>
      <c r="DP104" s="122">
        <f>ROUND(IF(ISERROR(DAVERAGE(_xlnm.Database,FILESTAT!DP$3,bfy2007_)),0,DAVERAGE(_xlnm.Database,FILESTAT!DP$3,bfy2007_)),0)</f>
        <v>0</v>
      </c>
      <c r="DQ104" s="122">
        <f>ROUND(IF(ISERROR(DAVERAGE(_xlnm.Database,FILESTAT!DQ$3,bfy2007_)),0,DAVERAGE(_xlnm.Database,FILESTAT!DQ$3,bfy2007_)),0)</f>
        <v>0</v>
      </c>
      <c r="DR104" s="122"/>
      <c r="DS104" s="122">
        <f>ROUND(IF(ISERROR(DAVERAGE(_xlnm.Database,FILESTAT!DS$3,bfy2007_)),0,DAVERAGE(_xlnm.Database,FILESTAT!DS$3,bfy2007_)),0)</f>
        <v>2</v>
      </c>
      <c r="DT104" s="122">
        <f>ROUND(IF(ISERROR(DAVERAGE(_xlnm.Database,FILESTAT!DT$3,bfy2007_)),0,DAVERAGE(_xlnm.Database,FILESTAT!DT$3,bfy2007_)),0)</f>
        <v>0</v>
      </c>
      <c r="DU104" s="122">
        <f>ROUND(IF(ISERROR(DAVERAGE(_xlnm.Database,FILESTAT!DU$3,bfy2007_)),0,DAVERAGE(_xlnm.Database,FILESTAT!DU$3,bfy2007_)),0)</f>
        <v>0</v>
      </c>
      <c r="DV104" s="127">
        <f t="shared" si="218"/>
        <v>51</v>
      </c>
      <c r="DW104" s="128"/>
    </row>
    <row r="105" spans="1:127" s="111" customFormat="1">
      <c r="A105" s="228">
        <v>2008</v>
      </c>
      <c r="B105" s="24"/>
      <c r="C105" s="121">
        <f>ROUND(IF(ISERROR(DAVERAGE(_xlnm.Database,FILESTAT!C$3,bfy2008_)),0,DAVERAGE(_xlnm.Database,FILESTAT!C$3,bfy2008_)),0)</f>
        <v>2</v>
      </c>
      <c r="D105" s="122">
        <f>ROUND(IF(ISERROR(DAVERAGE(_xlnm.Database,FILESTAT!D$3,bfy2008_)),0,DAVERAGE(_xlnm.Database,FILESTAT!D$3,bfy2008_)),0)</f>
        <v>18</v>
      </c>
      <c r="E105" s="122">
        <f>ROUND(IF(ISERROR(DAVERAGE(_xlnm.Database,FILESTAT!E$3,bfy2008_)),0,DAVERAGE(_xlnm.Database,FILESTAT!E$3,bfy2008_)),0)</f>
        <v>1</v>
      </c>
      <c r="F105" s="122">
        <f>ROUND(IF(ISERROR(DAVERAGE(_xlnm.Database,FILESTAT!F$3,bfy2008_)),0,DAVERAGE(_xlnm.Database,FILESTAT!F$3,bfy2008_)),0)</f>
        <v>1</v>
      </c>
      <c r="G105" s="122">
        <f>ROUND(IF(ISERROR(DAVERAGE(_xlnm.Database,FILESTAT!G$3,bfy2008_)),0,DAVERAGE(_xlnm.Database,FILESTAT!G$3,bfy2008_)),0)</f>
        <v>1</v>
      </c>
      <c r="H105" s="122">
        <f>ROUND(IF(ISERROR(DAVERAGE(_xlnm.Database,FILESTAT!H$3,bfy2008_)),0,DAVERAGE(_xlnm.Database,FILESTAT!H$3,bfy2008_)),0)</f>
        <v>0</v>
      </c>
      <c r="I105" s="122">
        <f>ROUND(IF(ISERROR(DAVERAGE(_xlnm.Database,FILESTAT!I$3,bfy2008_)),0,DAVERAGE(_xlnm.Database,FILESTAT!I$3,bfy2008_)),0)</f>
        <v>0</v>
      </c>
      <c r="J105" s="122">
        <f>ROUND(IF(ISERROR(DAVERAGE(_xlnm.Database,FILESTAT!J$3,bfy2008_)),0,DAVERAGE(_xlnm.Database,FILESTAT!J$3,bfy2008_)),0)</f>
        <v>26</v>
      </c>
      <c r="K105" s="122">
        <f>ROUND(IF(ISERROR(DAVERAGE(_xlnm.Database,FILESTAT!K$3,bfy2008_)),0,DAVERAGE(_xlnm.Database,FILESTAT!K$3,bfy2008_)),0)</f>
        <v>1</v>
      </c>
      <c r="L105" s="122">
        <f>ROUND(IF(ISERROR(DAVERAGE(_xlnm.Database,FILESTAT!L$3,bfy2008_)),0,DAVERAGE(_xlnm.Database,FILESTAT!L$3,bfy2008_)),0)</f>
        <v>0</v>
      </c>
      <c r="M105" s="122">
        <f>ROUND(IF(ISERROR(DAVERAGE(_xlnm.Database,FILESTAT!M$3,bfy2008_)),0,DAVERAGE(_xlnm.Database,FILESTAT!M$3,bfy2008_)),0)</f>
        <v>0</v>
      </c>
      <c r="N105" s="122">
        <f>ROUND(IF(ISERROR(DAVERAGE(_xlnm.Database,FILESTAT!N$3,bfy2008_)),0,DAVERAGE(_xlnm.Database,FILESTAT!N$3,bfy2008_)),0)</f>
        <v>0</v>
      </c>
      <c r="O105" s="122">
        <f>ROUND(IF(ISERROR(DAVERAGE(_xlnm.Database,FILESTAT!O$3,bfy2008_)),0,DAVERAGE(_xlnm.Database,FILESTAT!O$3,bfy2008_)),0)</f>
        <v>11</v>
      </c>
      <c r="P105" s="122">
        <f>ROUND(IF(ISERROR(DAVERAGE(_xlnm.Database,FILESTAT!P$3,bfy2008_)),0,DAVERAGE(_xlnm.Database,FILESTAT!P$3,bfy2008_)),0)</f>
        <v>2</v>
      </c>
      <c r="Q105" s="122">
        <f>ROUND(IF(ISERROR(DAVERAGE(_xlnm.Database,FILESTAT!Q$3,bfy2008_)),0,DAVERAGE(_xlnm.Database,FILESTAT!Q$3,bfy2008_)),0)</f>
        <v>0</v>
      </c>
      <c r="R105" s="123">
        <f>ROUND(IF(ISERROR(DAVERAGE(_xlnm.Database,FILESTAT!R$3,bfy2008_)),0,DAVERAGE(_xlnm.Database,FILESTAT!R$3,bfy2008_)),0)</f>
        <v>0</v>
      </c>
      <c r="S105" s="120">
        <f t="shared" ref="S105:S110" si="221">SUM(C105:R105)</f>
        <v>63</v>
      </c>
      <c r="T105" s="122">
        <f>ROUND(IF(ISERROR(DAVERAGE(_xlnm.Database,FILESTAT!T$3,bfy2008_)),0,DAVERAGE(_xlnm.Database,FILESTAT!T$3,bfy2008_)),0)</f>
        <v>0</v>
      </c>
      <c r="U105" s="122">
        <f>ROUND(IF(ISERROR(DAVERAGE(_xlnm.Database,FILESTAT!U$3,bfy2008_)),0,DAVERAGE(_xlnm.Database,FILESTAT!U$3,bfy2008_)),0)</f>
        <v>24</v>
      </c>
      <c r="V105" s="122"/>
      <c r="W105" s="122">
        <f>ROUND(IF(ISERROR(DAVERAGE(_xlnm.Database,FILESTAT!W$3,bfy2008_)),0,DAVERAGE(_xlnm.Database,FILESTAT!W$3,bfy2008_)),0)</f>
        <v>0</v>
      </c>
      <c r="X105" s="123">
        <f>ROUND(IF(ISERROR(DAVERAGE(_xlnm.Database,FILESTAT!X$3,bfy2008_)),0,DAVERAGE(_xlnm.Database,FILESTAT!X$3,bfy2008_)),0)</f>
        <v>0</v>
      </c>
      <c r="Z105" s="121">
        <f>ROUND(IF(ISERROR(DAVERAGE(_xlnm.Database,FILESTAT!Z$3,bfy2008_)),0,DAVERAGE(_xlnm.Database,FILESTAT!Z$3,bfy2008_)),0)</f>
        <v>2649643</v>
      </c>
      <c r="AA105" s="122">
        <f>ROUND(IF(ISERROR(DAVERAGE(_xlnm.Database,FILESTAT!AA$3,bfy2008_)),0,DAVERAGE(_xlnm.Database,FILESTAT!AA$3,bfy2008_)),0)</f>
        <v>0</v>
      </c>
      <c r="AB105" s="122"/>
      <c r="AC105" s="121">
        <f>ROUND(IF(ISERROR(DAVERAGE(_xlnm.Database,FILESTAT!AC$3,bfy2008_)),0,DAVERAGE(_xlnm.Database,FILESTAT!AC$3,bfy2008_)),0)</f>
        <v>724125</v>
      </c>
      <c r="AD105" s="122">
        <f>ROUND(IF(ISERROR(DAVERAGE(_xlnm.Database,FILESTAT!AD$3,bfy2008_)),0,DAVERAGE(_xlnm.Database,FILESTAT!AD$3,bfy2008_)),0)</f>
        <v>0</v>
      </c>
      <c r="AE105" s="120">
        <f t="shared" ref="AE105:AE110" si="222">SUM(AC105:AD105)</f>
        <v>724125</v>
      </c>
      <c r="AG105" s="121">
        <f>ROUND(IF(ISERROR(DAVERAGE(_xlnm.Database,FILESTAT!AG$3,bfy2008_)),0,DAVERAGE(_xlnm.Database,FILESTAT!AG$3,bfy2008_)),0)</f>
        <v>75</v>
      </c>
      <c r="AH105" s="122">
        <f>ROUND(IF(ISERROR(DAVERAGE(_xlnm.Database,FILESTAT!AH$3,bfy2008_)),0,DAVERAGE(_xlnm.Database,FILESTAT!AH$3,bfy2008_)),0)</f>
        <v>70</v>
      </c>
      <c r="AI105" s="122">
        <f>ROUND(IF(ISERROR(DAVERAGE(_xlnm.Database,FILESTAT!AI$3,bfy2008_)),0,DAVERAGE(_xlnm.Database,FILESTAT!AI$3,bfy2008_)),0)</f>
        <v>156</v>
      </c>
      <c r="AJ105" s="123">
        <f>ROUND(IF(ISERROR(DAVERAGE(_xlnm.Database,FILESTAT!AJ$3,bfy2008_)),0,DAVERAGE(_xlnm.Database,FILESTAT!AJ$3,bfy2008_)),0)</f>
        <v>0</v>
      </c>
      <c r="AL105" s="121">
        <f>ROUND(IF(ISERROR(DAVERAGE(_xlnm.Database,FILESTAT!AL$3,bfy2008_)),0,DAVERAGE(_xlnm.Database,FILESTAT!AL$3,bfy2008_)),0)</f>
        <v>0</v>
      </c>
      <c r="AM105" s="122">
        <f>ROUND(IF(ISERROR(DAVERAGE(_xlnm.Database,FILESTAT!AM$3,bfy2008_)),0,DAVERAGE(_xlnm.Database,FILESTAT!AM$3,bfy2008_)),0)</f>
        <v>43</v>
      </c>
      <c r="AN105" s="120">
        <f t="shared" si="219"/>
        <v>43</v>
      </c>
      <c r="AO105" s="122">
        <f>ROUND(IF(ISERROR(DAVERAGE(_xlnm.Database,FILESTAT!AO$3,bfy2008_)),0,DAVERAGE(_xlnm.Database,FILESTAT!AO$3,bfy2008_)),0)</f>
        <v>0</v>
      </c>
      <c r="AP105" s="122">
        <f>ROUND(IF(ISERROR(DAVERAGE(_xlnm.Database,FILESTAT!AP$3,bfy2008_)),0,DAVERAGE(_xlnm.Database,FILESTAT!AP$3,bfy2008_)),0)</f>
        <v>0</v>
      </c>
      <c r="AQ105" s="120">
        <f t="shared" si="220"/>
        <v>0</v>
      </c>
      <c r="AR105" s="122">
        <f>ROUND(IF(ISERROR(DAVERAGE(_xlnm.Database,FILESTAT!AR$3,bfy2008_)),0,DAVERAGE(_xlnm.Database,FILESTAT!AR$3,bfy2008_)),0)</f>
        <v>137</v>
      </c>
      <c r="AS105" s="122">
        <f>ROUND(IF(ISERROR(DAVERAGE(_xlnm.Database,FILESTAT!AS$3,bfy2008_)),0,DAVERAGE(_xlnm.Database,FILESTAT!AS$3,bfy2008_)),0)</f>
        <v>53</v>
      </c>
      <c r="AT105" s="122">
        <f>ROUND(IF(ISERROR(DAVERAGE(_xlnm.Database,FILESTAT!AT$3,bfy2008_)),0,DAVERAGE(_xlnm.Database,FILESTAT!AT$3,bfy2008_)),0)</f>
        <v>115</v>
      </c>
      <c r="AU105" s="122">
        <f>ROUND(IF(ISERROR(DAVERAGE(_xlnm.Database,FILESTAT!AU$3,bfy2008_)),0,DAVERAGE(_xlnm.Database,FILESTAT!AU$3,bfy2008_)),0)</f>
        <v>17</v>
      </c>
      <c r="AV105" s="123">
        <f>ROUND(IF(ISERROR(DAVERAGE(_xlnm.Database,FILESTAT!AV$3,bfy2008_)),0,DAVERAGE(_xlnm.Database,FILESTAT!AV$3,bfy2008_)),0)</f>
        <v>220</v>
      </c>
      <c r="AW105"/>
      <c r="AX105" s="356"/>
      <c r="AY105"/>
      <c r="BA105" s="121">
        <f>ROUND(IF(ISERROR(DAVERAGE(_xlnm.Database,FILESTAT!BA$3,bfy2008_)),0,DAVERAGE(_xlnm.Database,FILESTAT!BA$3,bfy2008_)),0)</f>
        <v>1871</v>
      </c>
      <c r="BB105" s="122">
        <f>ROUND(IF(ISERROR(DAVERAGE(_xlnm.Database,FILESTAT!BB$3,bfy2008_)),0,DAVERAGE(_xlnm.Database,FILESTAT!BB$3,bfy2008_)),0)</f>
        <v>50730100</v>
      </c>
      <c r="BC105" s="122">
        <f>ROUND(IF(ISERROR(DAVERAGE(_xlnm.Database,FILESTAT!BC$3,bfy2008_)),0,DAVERAGE(_xlnm.Database,FILESTAT!BC$3,bfy2008_)),0)</f>
        <v>0</v>
      </c>
      <c r="BD105" s="122"/>
      <c r="BE105" s="122">
        <f>ROUND(IF(ISERROR(DAVERAGE(_xlnm.Database,FILESTAT!BE$3,bfy2008_)),0,DAVERAGE(_xlnm.Database,FILESTAT!BE$3,bfy2008_)),0)</f>
        <v>93</v>
      </c>
      <c r="BF105" s="122">
        <f>ROUND(IF(ISERROR(DAVERAGE(_xlnm.Database,FILESTAT!BF$3,bfy2008_)),0,DAVERAGE(_xlnm.Database,FILESTAT!BF$3,bfy2008_)),0)</f>
        <v>3</v>
      </c>
      <c r="BG105" s="122">
        <f>ROUND(IF(ISERROR(DAVERAGE(_xlnm.Database,FILESTAT!BG$3,bfy2008_)),0,DAVERAGE(_xlnm.Database,FILESTAT!BG$3,bfy2008_)),0)</f>
        <v>3</v>
      </c>
      <c r="BH105" s="122"/>
      <c r="BI105" s="122">
        <f>ROUND(IF(ISERROR(DAVERAGE(_xlnm.Database,FILESTAT!BI$3,bfy2008_)),0,DAVERAGE(_xlnm.Database,FILESTAT!BI$3,bfy2008_)),0)</f>
        <v>3635318</v>
      </c>
      <c r="BJ105" s="122"/>
      <c r="BK105" s="122"/>
      <c r="BL105" s="122"/>
      <c r="BM105" s="123">
        <f>ROUND(IF(ISERROR(DAVERAGE(_xlnm.Database,FILESTAT!BM$3,bfy2008_)),0,DAVERAGE(_xlnm.Database,FILESTAT!BM$3,bfy2008_)),0)</f>
        <v>0</v>
      </c>
      <c r="BO105" s="121">
        <f>ROUND(IF(ISERROR(DAVERAGE(_xlnm.Database,FILESTAT!BO$3,bfy2008_)),0,DAVERAGE(_xlnm.Database,FILESTAT!BO$3,bfy2008_)),0)</f>
        <v>0</v>
      </c>
      <c r="BP105" s="123">
        <f>ROUND(IF(ISERROR(DAVERAGE(_xlnm.Database,FILESTAT!BP$3,bfy2008_)),0,DAVERAGE(_xlnm.Database,FILESTAT!BP$3,bfy2008_)),0)</f>
        <v>162</v>
      </c>
      <c r="BR105" s="252"/>
      <c r="BS105" s="179"/>
      <c r="BT105" s="251"/>
      <c r="BV105" s="121">
        <f>ROUND(IF(ISERROR(DAVERAGE(_xlnm.Database,FILESTAT!BV$3,bfy2008_)),0,DAVERAGE(_xlnm.Database,FILESTAT!BV$3,bfy2008_)),0)</f>
        <v>3</v>
      </c>
      <c r="BW105" s="122">
        <f>ROUND(IF(ISERROR(DAVERAGE(_xlnm.Database,FILESTAT!BW$3,bfy2008_)),0,DAVERAGE(_xlnm.Database,FILESTAT!BW$3,bfy2008_)),0)</f>
        <v>1</v>
      </c>
      <c r="BX105" s="122">
        <f>ROUND(IF(ISERROR(DAVERAGE(_xlnm.Database,FILESTAT!BX$3,bfy2008_)),0,DAVERAGE(_xlnm.Database,FILESTAT!BX$3,bfy2008_)),0)</f>
        <v>1</v>
      </c>
      <c r="BY105" s="122">
        <f>ROUND(IF(ISERROR(DAVERAGE(_xlnm.Database,FILESTAT!BY$3,bfy2008_)),0,DAVERAGE(_xlnm.Database,FILESTAT!BY$3,bfy2008_)),0)</f>
        <v>0</v>
      </c>
      <c r="BZ105" s="122">
        <f>ROUND(IF(ISERROR(DAVERAGE(_xlnm.Database,FILESTAT!BZ$3,bfy2008_)),0,DAVERAGE(_xlnm.Database,FILESTAT!BZ$3,bfy2008_)),0)</f>
        <v>1</v>
      </c>
      <c r="CA105" s="122">
        <f>ROUND(IF(ISERROR(DAVERAGE(_xlnm.Database,FILESTAT!CA$3,bfy2008_)),0,DAVERAGE(_xlnm.Database,FILESTAT!CA$3,bfy2008_)),0)</f>
        <v>0</v>
      </c>
      <c r="CB105" s="122">
        <f>ROUND(IF(ISERROR(DAVERAGE(_xlnm.Database,FILESTAT!CB$3,bfy2008_)),0,DAVERAGE(_xlnm.Database,FILESTAT!CB$3,bfy2008_)),0)</f>
        <v>0</v>
      </c>
      <c r="CC105" s="122"/>
      <c r="CD105" s="122">
        <f>ROUND(IF(ISERROR(DAVERAGE(_xlnm.Database,FILESTAT!CD$3,bfy2008_)),0,DAVERAGE(_xlnm.Database,FILESTAT!CD$3,bfy2008_)),0)</f>
        <v>5</v>
      </c>
      <c r="CE105" s="122">
        <f>ROUND(IF(ISERROR(DAVERAGE(_xlnm.Database,FILESTAT!CE$3,bfy2008_)),0,DAVERAGE(_xlnm.Database,FILESTAT!CE$3,bfy2008_)),0)</f>
        <v>1</v>
      </c>
      <c r="CF105" s="122">
        <f>ROUND(IF(ISERROR(DAVERAGE(_xlnm.Database,FILESTAT!CF$3,bfy2008_)),0,DAVERAGE(_xlnm.Database,FILESTAT!CF$3,bfy2008_)),0)</f>
        <v>0</v>
      </c>
      <c r="CG105" s="122">
        <f>ROUND(IF(ISERROR(DAVERAGE(_xlnm.Database,FILESTAT!CG$3,bfy2008_)),0,DAVERAGE(_xlnm.Database,FILESTAT!CG$3,bfy2008_)),0)</f>
        <v>0</v>
      </c>
      <c r="CH105" s="122">
        <f>ROUND(IF(ISERROR(DAVERAGE(_xlnm.Database,FILESTAT!CH$3,bfy2008_)),0,DAVERAGE(_xlnm.Database,FILESTAT!CH$3,bfy2008_)),0)</f>
        <v>1</v>
      </c>
      <c r="CI105" s="122">
        <f>ROUND(IF(ISERROR(DAVERAGE(_xlnm.Database,FILESTAT!CI$3,bfy2008_)),0,DAVERAGE(_xlnm.Database,FILESTAT!CI$3,bfy2008_)),0)</f>
        <v>4</v>
      </c>
      <c r="CJ105" s="122">
        <f>ROUND(IF(ISERROR(DAVERAGE(_xlnm.Database,FILESTAT!CJ$3,bfy2008_)),0,DAVERAGE(_xlnm.Database,FILESTAT!CJ$3,bfy2008_)),0)</f>
        <v>6</v>
      </c>
      <c r="CK105" s="122"/>
      <c r="CL105" s="122"/>
      <c r="CM105" s="122">
        <f>ROUND(IF(ISERROR(DAVERAGE(_xlnm.Database,FILESTAT!CM$3,bfy2008_)),0,DAVERAGE(_xlnm.Database,FILESTAT!CM$3,bfy2008_)),0)</f>
        <v>1</v>
      </c>
      <c r="CN105" s="122">
        <f>ROUND(IF(ISERROR(DAVERAGE(_xlnm.Database,FILESTAT!CN$3,bfy2008_)),0,DAVERAGE(_xlnm.Database,FILESTAT!CN$3,bfy2008_)),0)</f>
        <v>0</v>
      </c>
      <c r="CO105" s="122">
        <f>ROUND(IF(ISERROR(DAVERAGE(_xlnm.Database,FILESTAT!CO$3,bfy2008_)),0,DAVERAGE(_xlnm.Database,FILESTAT!CO$3,bfy2008_)),0)</f>
        <v>7</v>
      </c>
      <c r="CP105" s="122"/>
      <c r="CQ105" s="122">
        <f>ROUND(IF(ISERROR(DAVERAGE(_xlnm.Database,FILESTAT!CQ$3,bfy2008_)),0,DAVERAGE(_xlnm.Database,FILESTAT!CQ$3,bfy2008_)),0)</f>
        <v>0</v>
      </c>
      <c r="CR105" s="122"/>
      <c r="CS105" s="122">
        <f>ROUND(IF(ISERROR(DAVERAGE(_xlnm.Database,FILESTAT!CS$3,bfy2008_)),0,DAVERAGE(_xlnm.Database,FILESTAT!CS$3,bfy2008_)),0)</f>
        <v>1</v>
      </c>
      <c r="CT105" s="122">
        <f>ROUND(IF(ISERROR(DAVERAGE(_xlnm.Database,FILESTAT!CT$3,bfy2008_)),0,DAVERAGE(_xlnm.Database,FILESTAT!CT$3,bfy2008_)),0)</f>
        <v>5</v>
      </c>
      <c r="CU105" s="122">
        <f>ROUND(IF(ISERROR(DAVERAGE(_xlnm.Database,FILESTAT!CU$3,bfy2008_)),0,DAVERAGE(_xlnm.Database,FILESTAT!CU$3,bfy2008_)),0)</f>
        <v>0</v>
      </c>
      <c r="CV105" s="122">
        <f>ROUND(IF(ISERROR(DAVERAGE(_xlnm.Database,FILESTAT!CV$3,bfy2008_)),0,DAVERAGE(_xlnm.Database,FILESTAT!CV$3,bfy2008_)),0)</f>
        <v>2</v>
      </c>
      <c r="CW105" s="122">
        <f>ROUND(IF(ISERROR(DAVERAGE(_xlnm.Database,FILESTAT!CW$3,bfy2008_)),0,DAVERAGE(_xlnm.Database,FILESTAT!CW$3,bfy2008_)),0)</f>
        <v>0</v>
      </c>
      <c r="CX105" s="122"/>
      <c r="CY105" s="122">
        <f>ROUND(IF(ISERROR(DAVERAGE(_xlnm.Database,FILESTAT!CY$3,bfy2008_)),0,DAVERAGE(_xlnm.Database,FILESTAT!CY$3,bfy2008_)),0)</f>
        <v>2</v>
      </c>
      <c r="CZ105" s="122">
        <f>ROUND(IF(ISERROR(DAVERAGE(_xlnm.Database,FILESTAT!CZ$3,bfy2008_)),0,DAVERAGE(_xlnm.Database,FILESTAT!CZ$3,bfy2008_)),0)</f>
        <v>0</v>
      </c>
      <c r="DA105" s="122">
        <f>ROUND(IF(ISERROR(DAVERAGE(_xlnm.Database,FILESTAT!DA$3,bfy2008_)),0,DAVERAGE(_xlnm.Database,FILESTAT!DA$3,bfy2008_)),0)</f>
        <v>0</v>
      </c>
      <c r="DB105" s="122">
        <f>ROUND(IF(ISERROR(DAVERAGE(_xlnm.Database,FILESTAT!DB$3,bfy2008_)),0,DAVERAGE(_xlnm.Database,FILESTAT!DB$3,bfy2008_)),0)</f>
        <v>7</v>
      </c>
      <c r="DC105" s="122">
        <f>ROUND(IF(ISERROR(DAVERAGE(_xlnm.Database,FILESTAT!DC$3,bfy2008_)),0,DAVERAGE(_xlnm.Database,FILESTAT!DC$3,bfy2008_)),0)</f>
        <v>1</v>
      </c>
      <c r="DD105" s="122">
        <f>ROUND(IF(ISERROR(DAVERAGE(_xlnm.Database,FILESTAT!DD$3,bfy2008_)),0,DAVERAGE(_xlnm.Database,FILESTAT!DD$3,bfy2008_)),0)</f>
        <v>0</v>
      </c>
      <c r="DE105" s="122">
        <f>ROUND(IF(ISERROR(DAVERAGE(_xlnm.Database,FILESTAT!DE$3,bfy2008_)),0,DAVERAGE(_xlnm.Database,FILESTAT!DE$3,bfy2008_)),0)</f>
        <v>0</v>
      </c>
      <c r="DF105" s="122">
        <f>ROUND(IF(ISERROR(DAVERAGE(_xlnm.Database,FILESTAT!DF$3,bfy2008_)),0,DAVERAGE(_xlnm.Database,FILESTAT!DF$3,bfy2008_)),0)</f>
        <v>0</v>
      </c>
      <c r="DG105" s="122">
        <f>ROUND(IF(ISERROR(DAVERAGE(_xlnm.Database,FILESTAT!DG$3,bfy2008_)),0,DAVERAGE(_xlnm.Database,FILESTAT!DG$3,bfy2008_)),0)</f>
        <v>3</v>
      </c>
      <c r="DH105" s="122">
        <f>ROUND(IF(ISERROR(DAVERAGE(_xlnm.Database,FILESTAT!DH$3,bfy2008_)),0,DAVERAGE(_xlnm.Database,FILESTAT!DH$3,bfy2008_)),0)</f>
        <v>1</v>
      </c>
      <c r="DI105" s="122">
        <f>ROUND(IF(ISERROR(DAVERAGE(_xlnm.Database,FILESTAT!DI$3,bfy2008_)),0,DAVERAGE(_xlnm.Database,FILESTAT!DI$3,bfy2008_)),0)</f>
        <v>2</v>
      </c>
      <c r="DJ105" s="122">
        <f>ROUND(IF(ISERROR(DAVERAGE(_xlnm.Database,FILESTAT!DJ$3,bfy2008_)),0,DAVERAGE(_xlnm.Database,FILESTAT!DJ$3,bfy2008_)),0)</f>
        <v>1</v>
      </c>
      <c r="DK105" s="122"/>
      <c r="DL105" s="122">
        <f>ROUND(IF(ISERROR(DAVERAGE(_xlnm.Database,FILESTAT!DL$3,bfy2008_)),0,DAVERAGE(_xlnm.Database,FILESTAT!DL$3,bfy2008_)),0)</f>
        <v>0</v>
      </c>
      <c r="DM105" s="122">
        <f>ROUND(IF(ISERROR(DAVERAGE(_xlnm.Database,FILESTAT!DM$3,bfy2008_)),0,DAVERAGE(_xlnm.Database,FILESTAT!DM$3,bfy2008_)),0)</f>
        <v>2</v>
      </c>
      <c r="DN105" s="122">
        <f>ROUND(IF(ISERROR(DAVERAGE(_xlnm.Database,FILESTAT!DN$3,bfy2008_)),0,DAVERAGE(_xlnm.Database,FILESTAT!DN$3,bfy2008_)),0)</f>
        <v>0</v>
      </c>
      <c r="DO105" s="122">
        <f>ROUND(IF(ISERROR(DAVERAGE(_xlnm.Database,FILESTAT!DO$3,bfy2008_)),0,DAVERAGE(_xlnm.Database,FILESTAT!DO$3,bfy2008_)),0)</f>
        <v>1</v>
      </c>
      <c r="DP105" s="122">
        <f>ROUND(IF(ISERROR(DAVERAGE(_xlnm.Database,FILESTAT!DP$3,bfy2008_)),0,DAVERAGE(_xlnm.Database,FILESTAT!DP$3,bfy2008_)),0)</f>
        <v>0</v>
      </c>
      <c r="DQ105" s="122">
        <f>ROUND(IF(ISERROR(DAVERAGE(_xlnm.Database,FILESTAT!DQ$3,bfy2008_)),0,DAVERAGE(_xlnm.Database,FILESTAT!DQ$3,bfy2008_)),0)</f>
        <v>0</v>
      </c>
      <c r="DR105" s="122"/>
      <c r="DS105" s="122">
        <f>ROUND(IF(ISERROR(DAVERAGE(_xlnm.Database,FILESTAT!DS$3,bfy2008_)),0,DAVERAGE(_xlnm.Database,FILESTAT!DS$3,bfy2008_)),0)</f>
        <v>1</v>
      </c>
      <c r="DT105" s="122">
        <f>ROUND(IF(ISERROR(DAVERAGE(_xlnm.Database,FILESTAT!DT$3,bfy2008_)),0,DAVERAGE(_xlnm.Database,FILESTAT!DT$3,bfy2008_)),0)</f>
        <v>0</v>
      </c>
      <c r="DU105" s="122">
        <f>ROUND(IF(ISERROR(DAVERAGE(_xlnm.Database,FILESTAT!DU$3,bfy2008_)),0,DAVERAGE(_xlnm.Database,FILESTAT!DU$3,bfy2008_)),0)</f>
        <v>0</v>
      </c>
      <c r="DV105" s="127">
        <f t="shared" ref="DV105:DV110" si="223">SUM(BV105:DU105)</f>
        <v>60</v>
      </c>
      <c r="DW105" s="128"/>
    </row>
    <row r="106" spans="1:127" s="111" customFormat="1">
      <c r="A106" s="228">
        <v>2009</v>
      </c>
      <c r="B106" s="24"/>
      <c r="C106" s="121">
        <f>ROUND(IF(ISERROR(DAVERAGE(_xlnm.Database,FILESTAT!C$3,bfy2009_)),0,DAVERAGE(_xlnm.Database,FILESTAT!C$3,bfy2009_)),0)</f>
        <v>3</v>
      </c>
      <c r="D106" s="122">
        <f>ROUND(IF(ISERROR(DAVERAGE(_xlnm.Database,FILESTAT!D$3,bfy2009_)),0,DAVERAGE(_xlnm.Database,FILESTAT!D$3,bfy2009_)),0)</f>
        <v>20</v>
      </c>
      <c r="E106" s="122">
        <f>ROUND(IF(ISERROR(DAVERAGE(_xlnm.Database,FILESTAT!E$3,bfy2009_)),0,DAVERAGE(_xlnm.Database,FILESTAT!E$3,bfy2009_)),0)</f>
        <v>0</v>
      </c>
      <c r="F106" s="122">
        <f>ROUND(IF(ISERROR(DAVERAGE(_xlnm.Database,FILESTAT!F$3,bfy2009_)),0,DAVERAGE(_xlnm.Database,FILESTAT!F$3,bfy2009_)),0)</f>
        <v>1</v>
      </c>
      <c r="G106" s="122">
        <f>ROUND(IF(ISERROR(DAVERAGE(_xlnm.Database,FILESTAT!G$3,bfy2009_)),0,DAVERAGE(_xlnm.Database,FILESTAT!G$3,bfy2009_)),0)</f>
        <v>1</v>
      </c>
      <c r="H106" s="122">
        <f>ROUND(IF(ISERROR(DAVERAGE(_xlnm.Database,FILESTAT!H$3,bfy2009_)),0,DAVERAGE(_xlnm.Database,FILESTAT!H$3,bfy2009_)),0)</f>
        <v>2</v>
      </c>
      <c r="I106" s="122">
        <f>ROUND(IF(ISERROR(DAVERAGE(_xlnm.Database,FILESTAT!I$3,bfy2009_)),0,DAVERAGE(_xlnm.Database,FILESTAT!I$3,bfy2009_)),0)</f>
        <v>0</v>
      </c>
      <c r="J106" s="122">
        <f>ROUND(IF(ISERROR(DAVERAGE(_xlnm.Database,FILESTAT!J$3,bfy2009_)),0,DAVERAGE(_xlnm.Database,FILESTAT!J$3,bfy2009_)),0)</f>
        <v>10</v>
      </c>
      <c r="K106" s="122">
        <f>ROUND(IF(ISERROR(DAVERAGE(_xlnm.Database,FILESTAT!K$3,bfy2009_)),0,DAVERAGE(_xlnm.Database,FILESTAT!K$3,bfy2009_)),0)</f>
        <v>0</v>
      </c>
      <c r="L106" s="122">
        <f>ROUND(IF(ISERROR(DAVERAGE(_xlnm.Database,FILESTAT!L$3,bfy2009_)),0,DAVERAGE(_xlnm.Database,FILESTAT!L$3,bfy2009_)),0)</f>
        <v>0</v>
      </c>
      <c r="M106" s="122">
        <f>ROUND(IF(ISERROR(DAVERAGE(_xlnm.Database,FILESTAT!M$3,bfy2009_)),0,DAVERAGE(_xlnm.Database,FILESTAT!M$3,bfy2009_)),0)</f>
        <v>0</v>
      </c>
      <c r="N106" s="122">
        <f>ROUND(IF(ISERROR(DAVERAGE(_xlnm.Database,FILESTAT!N$3,bfy2009_)),0,DAVERAGE(_xlnm.Database,FILESTAT!N$3,bfy2009_)),0)</f>
        <v>0</v>
      </c>
      <c r="O106" s="122">
        <f>ROUND(IF(ISERROR(DAVERAGE(_xlnm.Database,FILESTAT!O$3,bfy2009_)),0,DAVERAGE(_xlnm.Database,FILESTAT!O$3,bfy2009_)),0)</f>
        <v>12</v>
      </c>
      <c r="P106" s="122">
        <f>ROUND(IF(ISERROR(DAVERAGE(_xlnm.Database,FILESTAT!P$3,bfy2009_)),0,DAVERAGE(_xlnm.Database,FILESTAT!P$3,bfy2009_)),0)</f>
        <v>2</v>
      </c>
      <c r="Q106" s="122">
        <f>ROUND(IF(ISERROR(DAVERAGE(_xlnm.Database,FILESTAT!Q$3,bfy2009_)),0,DAVERAGE(_xlnm.Database,FILESTAT!Q$3,bfy2009_)),0)</f>
        <v>0</v>
      </c>
      <c r="R106" s="123">
        <f>ROUND(IF(ISERROR(DAVERAGE(_xlnm.Database,FILESTAT!R$3,bfy2009_)),0,DAVERAGE(_xlnm.Database,FILESTAT!R$3,bfy2009_)),0)</f>
        <v>0</v>
      </c>
      <c r="S106" s="120">
        <f t="shared" si="221"/>
        <v>51</v>
      </c>
      <c r="T106" s="122">
        <f>ROUND(IF(ISERROR(DAVERAGE(_xlnm.Database,FILESTAT!T$3,bfy2009_)),0,DAVERAGE(_xlnm.Database,FILESTAT!T$3,bfy2009_)),0)</f>
        <v>0</v>
      </c>
      <c r="U106" s="122">
        <f>ROUND(IF(ISERROR(DAVERAGE(_xlnm.Database,FILESTAT!U$3,bfy2009_)),0,DAVERAGE(_xlnm.Database,FILESTAT!U$3,bfy2009_)),0)</f>
        <v>15</v>
      </c>
      <c r="V106" s="122"/>
      <c r="W106" s="122">
        <f>ROUND(IF(ISERROR(DAVERAGE(_xlnm.Database,FILESTAT!W$3,bfy2009_)),0,DAVERAGE(_xlnm.Database,FILESTAT!W$3,bfy2009_)),0)</f>
        <v>0</v>
      </c>
      <c r="X106" s="123">
        <f>ROUND(IF(ISERROR(DAVERAGE(_xlnm.Database,FILESTAT!X$3,bfy2009_)),0,DAVERAGE(_xlnm.Database,FILESTAT!X$3,bfy2009_)),0)</f>
        <v>0</v>
      </c>
      <c r="Z106" s="121">
        <f>ROUND(IF(ISERROR(DAVERAGE(_xlnm.Database,FILESTAT!Z$3,bfy2009_)),0,DAVERAGE(_xlnm.Database,FILESTAT!Z$3,bfy2009_)),0)</f>
        <v>2623423</v>
      </c>
      <c r="AA106" s="122">
        <f>ROUND(IF(ISERROR(DAVERAGE(_xlnm.Database,FILESTAT!AA$3,bfy2009_)),0,DAVERAGE(_xlnm.Database,FILESTAT!AA$3,bfy2009_)),0)</f>
        <v>0</v>
      </c>
      <c r="AB106" s="122"/>
      <c r="AC106" s="121">
        <f>ROUND(IF(ISERROR(DAVERAGE(_xlnm.Database,FILESTAT!AC$3,bfy2009_)),0,DAVERAGE(_xlnm.Database,FILESTAT!AC$3,bfy2009_)),0)</f>
        <v>818704</v>
      </c>
      <c r="AD106" s="122">
        <f>ROUND(IF(ISERROR(DAVERAGE(_xlnm.Database,FILESTAT!AD$3,bfy2009_)),0,DAVERAGE(_xlnm.Database,FILESTAT!AD$3,bfy2009_)),0)</f>
        <v>0</v>
      </c>
      <c r="AE106" s="120">
        <f t="shared" si="222"/>
        <v>818704</v>
      </c>
      <c r="AG106" s="121">
        <f>ROUND(IF(ISERROR(DAVERAGE(_xlnm.Database,FILESTAT!AG$3,bfy2009_)),0,DAVERAGE(_xlnm.Database,FILESTAT!AG$3,bfy2009_)),0)</f>
        <v>74</v>
      </c>
      <c r="AH106" s="122">
        <f>ROUND(IF(ISERROR(DAVERAGE(_xlnm.Database,FILESTAT!AH$3,bfy2009_)),0,DAVERAGE(_xlnm.Database,FILESTAT!AH$3,bfy2009_)),0)</f>
        <v>69</v>
      </c>
      <c r="AI106" s="122">
        <f>ROUND(IF(ISERROR(DAVERAGE(_xlnm.Database,FILESTAT!AI$3,bfy2009_)),0,DAVERAGE(_xlnm.Database,FILESTAT!AI$3,bfy2009_)),0)</f>
        <v>156</v>
      </c>
      <c r="AJ106" s="123">
        <f>ROUND(IF(ISERROR(DAVERAGE(_xlnm.Database,FILESTAT!AJ$3,bfy2009_)),0,DAVERAGE(_xlnm.Database,FILESTAT!AJ$3,bfy2009_)),0)</f>
        <v>0</v>
      </c>
      <c r="AL106" s="121">
        <f>ROUND(IF(ISERROR(DAVERAGE(_xlnm.Database,FILESTAT!AL$3,bfy2009_)),0,DAVERAGE(_xlnm.Database,FILESTAT!AL$3,bfy2009_)),0)</f>
        <v>0</v>
      </c>
      <c r="AM106" s="122">
        <f>ROUND(IF(ISERROR(DAVERAGE(_xlnm.Database,FILESTAT!AM$3,bfy2009_)),0,DAVERAGE(_xlnm.Database,FILESTAT!AM$3,bfy2009_)),0)</f>
        <v>39</v>
      </c>
      <c r="AN106" s="120">
        <f t="shared" si="219"/>
        <v>39</v>
      </c>
      <c r="AO106" s="122">
        <f>ROUND(IF(ISERROR(DAVERAGE(_xlnm.Database,FILESTAT!AO$3,bfy2009_)),0,DAVERAGE(_xlnm.Database,FILESTAT!AO$3,bfy2009_)),0)</f>
        <v>0</v>
      </c>
      <c r="AP106" s="122">
        <f>ROUND(IF(ISERROR(DAVERAGE(_xlnm.Database,FILESTAT!AP$3,bfy2009_)),0,DAVERAGE(_xlnm.Database,FILESTAT!AP$3,bfy2009_)),0)</f>
        <v>0</v>
      </c>
      <c r="AQ106" s="120">
        <f t="shared" si="220"/>
        <v>0</v>
      </c>
      <c r="AR106" s="122">
        <f>ROUND(IF(ISERROR(DAVERAGE(_xlnm.Database,FILESTAT!AR$3,bfy2009_)),0,DAVERAGE(_xlnm.Database,FILESTAT!AR$3,bfy2009_)),0)</f>
        <v>137</v>
      </c>
      <c r="AS106" s="122">
        <f>ROUND(IF(ISERROR(DAVERAGE(_xlnm.Database,FILESTAT!AS$3,bfy2009_)),0,DAVERAGE(_xlnm.Database,FILESTAT!AS$3,bfy2009_)),0)</f>
        <v>82</v>
      </c>
      <c r="AT106" s="122">
        <f>ROUND(IF(ISERROR(DAVERAGE(_xlnm.Database,FILESTAT!AT$3,bfy2009_)),0,DAVERAGE(_xlnm.Database,FILESTAT!AT$3,bfy2009_)),0)</f>
        <v>133</v>
      </c>
      <c r="AU106" s="122">
        <f>ROUND(IF(ISERROR(DAVERAGE(_xlnm.Database,FILESTAT!AU$3,bfy2009_)),0,DAVERAGE(_xlnm.Database,FILESTAT!AU$3,bfy2009_)),0)</f>
        <v>17</v>
      </c>
      <c r="AV106" s="123">
        <f>ROUND(IF(ISERROR(DAVERAGE(_xlnm.Database,FILESTAT!AV$3,bfy2009_)),0,DAVERAGE(_xlnm.Database,FILESTAT!AV$3,bfy2009_)),0)</f>
        <v>278</v>
      </c>
      <c r="AW106"/>
      <c r="AX106" s="356"/>
      <c r="AY106"/>
      <c r="BA106" s="121">
        <f>ROUND(IF(ISERROR(DAVERAGE(_xlnm.Database,FILESTAT!BA$3,bfy2009_)),0,DAVERAGE(_xlnm.Database,FILESTAT!BA$3,bfy2009_)),0)</f>
        <v>1916</v>
      </c>
      <c r="BB106" s="122">
        <f>ROUND(IF(ISERROR(DAVERAGE(_xlnm.Database,FILESTAT!BB$3,bfy2009_)),0,DAVERAGE(_xlnm.Database,FILESTAT!BB$3,bfy2009_)),0)</f>
        <v>57235962</v>
      </c>
      <c r="BC106" s="122">
        <f>ROUND(IF(ISERROR(DAVERAGE(_xlnm.Database,FILESTAT!BC$3,bfy2009_)),0,DAVERAGE(_xlnm.Database,FILESTAT!BC$3,bfy2009_)),0)</f>
        <v>0</v>
      </c>
      <c r="BD106" s="122"/>
      <c r="BE106" s="122">
        <f>ROUND(IF(ISERROR(DAVERAGE(_xlnm.Database,FILESTAT!BE$3,bfy2009_)),0,DAVERAGE(_xlnm.Database,FILESTAT!BE$3,bfy2009_)),0)</f>
        <v>78</v>
      </c>
      <c r="BF106" s="122">
        <f>ROUND(IF(ISERROR(DAVERAGE(_xlnm.Database,FILESTAT!BF$3,bfy2009_)),0,DAVERAGE(_xlnm.Database,FILESTAT!BF$3,bfy2009_)),0)</f>
        <v>6</v>
      </c>
      <c r="BG106" s="122">
        <f>ROUND(IF(ISERROR(DAVERAGE(_xlnm.Database,FILESTAT!BG$3,bfy2009_)),0,DAVERAGE(_xlnm.Database,FILESTAT!BG$3,bfy2009_)),0)</f>
        <v>1</v>
      </c>
      <c r="BH106" s="122"/>
      <c r="BI106" s="122">
        <f>ROUND(IF(ISERROR(DAVERAGE(_xlnm.Database,FILESTAT!BI$3,bfy2009_)),0,DAVERAGE(_xlnm.Database,FILESTAT!BI$3,bfy2009_)),0)</f>
        <v>3794218</v>
      </c>
      <c r="BJ106" s="122"/>
      <c r="BK106" s="122"/>
      <c r="BL106" s="122"/>
      <c r="BM106" s="123">
        <f>ROUND(IF(ISERROR(DAVERAGE(_xlnm.Database,FILESTAT!BM$3,bfy2009_)),0,DAVERAGE(_xlnm.Database,FILESTAT!BM$3,bfy2009_)),0)</f>
        <v>0</v>
      </c>
      <c r="BO106" s="121">
        <f>ROUND(IF(ISERROR(DAVERAGE(_xlnm.Database,FILESTAT!BO$3,bfy2009_)),0,DAVERAGE(_xlnm.Database,FILESTAT!BO$3,bfy2009_)),0)</f>
        <v>0</v>
      </c>
      <c r="BP106" s="123">
        <f>ROUND(IF(ISERROR(DAVERAGE(_xlnm.Database,FILESTAT!BP$3,bfy2009_)),0,DAVERAGE(_xlnm.Database,FILESTAT!BP$3,bfy2009_)),0)</f>
        <v>163</v>
      </c>
      <c r="BR106" s="252"/>
      <c r="BS106" s="179"/>
      <c r="BT106" s="251"/>
      <c r="BV106" s="121">
        <f>ROUND(IF(ISERROR(DAVERAGE(_xlnm.Database,FILESTAT!BV$3,bfy2009_)),0,DAVERAGE(_xlnm.Database,FILESTAT!BV$3,bfy2009_)),0)</f>
        <v>3</v>
      </c>
      <c r="BW106" s="122">
        <f>ROUND(IF(ISERROR(DAVERAGE(_xlnm.Database,FILESTAT!BW$3,bfy2009_)),0,DAVERAGE(_xlnm.Database,FILESTAT!BW$3,bfy2009_)),0)</f>
        <v>1</v>
      </c>
      <c r="BX106" s="122">
        <f>ROUND(IF(ISERROR(DAVERAGE(_xlnm.Database,FILESTAT!BX$3,bfy2009_)),0,DAVERAGE(_xlnm.Database,FILESTAT!BX$3,bfy2009_)),0)</f>
        <v>3</v>
      </c>
      <c r="BY106" s="122">
        <f>ROUND(IF(ISERROR(DAVERAGE(_xlnm.Database,FILESTAT!BY$3,bfy2009_)),0,DAVERAGE(_xlnm.Database,FILESTAT!BY$3,bfy2009_)),0)</f>
        <v>0</v>
      </c>
      <c r="BZ106" s="122">
        <f>ROUND(IF(ISERROR(DAVERAGE(_xlnm.Database,FILESTAT!BZ$3,bfy2009_)),0,DAVERAGE(_xlnm.Database,FILESTAT!BZ$3,bfy2009_)),0)</f>
        <v>0</v>
      </c>
      <c r="CA106" s="122">
        <f>ROUND(IF(ISERROR(DAVERAGE(_xlnm.Database,FILESTAT!CA$3,bfy2009_)),0,DAVERAGE(_xlnm.Database,FILESTAT!CA$3,bfy2009_)),0)</f>
        <v>0</v>
      </c>
      <c r="CB106" s="122">
        <f>ROUND(IF(ISERROR(DAVERAGE(_xlnm.Database,FILESTAT!CB$3,bfy2009_)),0,DAVERAGE(_xlnm.Database,FILESTAT!CB$3,bfy2009_)),0)</f>
        <v>0</v>
      </c>
      <c r="CC106" s="122"/>
      <c r="CD106" s="122">
        <f>ROUND(IF(ISERROR(DAVERAGE(_xlnm.Database,FILESTAT!CD$3,bfy2009_)),0,DAVERAGE(_xlnm.Database,FILESTAT!CD$3,bfy2009_)),0)</f>
        <v>4</v>
      </c>
      <c r="CE106" s="122">
        <f>ROUND(IF(ISERROR(DAVERAGE(_xlnm.Database,FILESTAT!CE$3,bfy2009_)),0,DAVERAGE(_xlnm.Database,FILESTAT!CE$3,bfy2009_)),0)</f>
        <v>0</v>
      </c>
      <c r="CF106" s="122">
        <f>ROUND(IF(ISERROR(DAVERAGE(_xlnm.Database,FILESTAT!CF$3,bfy2009_)),0,DAVERAGE(_xlnm.Database,FILESTAT!CF$3,bfy2009_)),0)</f>
        <v>0</v>
      </c>
      <c r="CG106" s="122">
        <f>ROUND(IF(ISERROR(DAVERAGE(_xlnm.Database,FILESTAT!CG$3,bfy2009_)),0,DAVERAGE(_xlnm.Database,FILESTAT!CG$3,bfy2009_)),0)</f>
        <v>0</v>
      </c>
      <c r="CH106" s="122">
        <f>ROUND(IF(ISERROR(DAVERAGE(_xlnm.Database,FILESTAT!CH$3,bfy2009_)),0,DAVERAGE(_xlnm.Database,FILESTAT!CH$3,bfy2009_)),0)</f>
        <v>0</v>
      </c>
      <c r="CI106" s="122">
        <f>ROUND(IF(ISERROR(DAVERAGE(_xlnm.Database,FILESTAT!CI$3,bfy2009_)),0,DAVERAGE(_xlnm.Database,FILESTAT!CI$3,bfy2009_)),0)</f>
        <v>5</v>
      </c>
      <c r="CJ106" s="122">
        <f>ROUND(IF(ISERROR(DAVERAGE(_xlnm.Database,FILESTAT!CJ$3,bfy2009_)),0,DAVERAGE(_xlnm.Database,FILESTAT!CJ$3,bfy2009_)),0)</f>
        <v>3</v>
      </c>
      <c r="CK106" s="122"/>
      <c r="CL106" s="122"/>
      <c r="CM106" s="122">
        <f>ROUND(IF(ISERROR(DAVERAGE(_xlnm.Database,FILESTAT!CM$3,bfy2009_)),0,DAVERAGE(_xlnm.Database,FILESTAT!CM$3,bfy2009_)),0)</f>
        <v>0</v>
      </c>
      <c r="CN106" s="122">
        <f>ROUND(IF(ISERROR(DAVERAGE(_xlnm.Database,FILESTAT!CN$3,bfy2009_)),0,DAVERAGE(_xlnm.Database,FILESTAT!CN$3,bfy2009_)),0)</f>
        <v>0</v>
      </c>
      <c r="CO106" s="122">
        <f>ROUND(IF(ISERROR(DAVERAGE(_xlnm.Database,FILESTAT!CO$3,bfy2009_)),0,DAVERAGE(_xlnm.Database,FILESTAT!CO$3,bfy2009_)),0)</f>
        <v>5</v>
      </c>
      <c r="CP106" s="122"/>
      <c r="CQ106" s="122">
        <f>ROUND(IF(ISERROR(DAVERAGE(_xlnm.Database,FILESTAT!CQ$3,bfy2009_)),0,DAVERAGE(_xlnm.Database,FILESTAT!CQ$3,bfy2009_)),0)</f>
        <v>0</v>
      </c>
      <c r="CR106" s="122"/>
      <c r="CS106" s="122">
        <f>ROUND(IF(ISERROR(DAVERAGE(_xlnm.Database,FILESTAT!CS$3,bfy2009_)),0,DAVERAGE(_xlnm.Database,FILESTAT!CS$3,bfy2009_)),0)</f>
        <v>1</v>
      </c>
      <c r="CT106" s="122">
        <f>ROUND(IF(ISERROR(DAVERAGE(_xlnm.Database,FILESTAT!CT$3,bfy2009_)),0,DAVERAGE(_xlnm.Database,FILESTAT!CT$3,bfy2009_)),0)</f>
        <v>4</v>
      </c>
      <c r="CU106" s="122">
        <f>ROUND(IF(ISERROR(DAVERAGE(_xlnm.Database,FILESTAT!CU$3,bfy2009_)),0,DAVERAGE(_xlnm.Database,FILESTAT!CU$3,bfy2009_)),0)</f>
        <v>0</v>
      </c>
      <c r="CV106" s="122">
        <f>ROUND(IF(ISERROR(DAVERAGE(_xlnm.Database,FILESTAT!CV$3,bfy2009_)),0,DAVERAGE(_xlnm.Database,FILESTAT!CV$3,bfy2009_)),0)</f>
        <v>3</v>
      </c>
      <c r="CW106" s="122">
        <f>ROUND(IF(ISERROR(DAVERAGE(_xlnm.Database,FILESTAT!CW$3,bfy2009_)),0,DAVERAGE(_xlnm.Database,FILESTAT!CW$3,bfy2009_)),0)</f>
        <v>0</v>
      </c>
      <c r="CX106" s="122"/>
      <c r="CY106" s="122">
        <f>ROUND(IF(ISERROR(DAVERAGE(_xlnm.Database,FILESTAT!CY$3,bfy2009_)),0,DAVERAGE(_xlnm.Database,FILESTAT!CY$3,bfy2009_)),0)</f>
        <v>1</v>
      </c>
      <c r="CZ106" s="122">
        <f>ROUND(IF(ISERROR(DAVERAGE(_xlnm.Database,FILESTAT!CZ$3,bfy2009_)),0,DAVERAGE(_xlnm.Database,FILESTAT!CZ$3,bfy2009_)),0)</f>
        <v>0</v>
      </c>
      <c r="DA106" s="122">
        <f>ROUND(IF(ISERROR(DAVERAGE(_xlnm.Database,FILESTAT!DA$3,bfy2009_)),0,DAVERAGE(_xlnm.Database,FILESTAT!DA$3,bfy2009_)),0)</f>
        <v>0</v>
      </c>
      <c r="DB106" s="122">
        <f>ROUND(IF(ISERROR(DAVERAGE(_xlnm.Database,FILESTAT!DB$3,bfy2009_)),0,DAVERAGE(_xlnm.Database,FILESTAT!DB$3,bfy2009_)),0)</f>
        <v>5</v>
      </c>
      <c r="DC106" s="122">
        <f>ROUND(IF(ISERROR(DAVERAGE(_xlnm.Database,FILESTAT!DC$3,bfy2009_)),0,DAVERAGE(_xlnm.Database,FILESTAT!DC$3,bfy2009_)),0)</f>
        <v>1</v>
      </c>
      <c r="DD106" s="122">
        <f>ROUND(IF(ISERROR(DAVERAGE(_xlnm.Database,FILESTAT!DD$3,bfy2009_)),0,DAVERAGE(_xlnm.Database,FILESTAT!DD$3,bfy2009_)),0)</f>
        <v>0</v>
      </c>
      <c r="DE106" s="122">
        <f>ROUND(IF(ISERROR(DAVERAGE(_xlnm.Database,FILESTAT!DE$3,bfy2009_)),0,DAVERAGE(_xlnm.Database,FILESTAT!DE$3,bfy2009_)),0)</f>
        <v>0</v>
      </c>
      <c r="DF106" s="122">
        <f>ROUND(IF(ISERROR(DAVERAGE(_xlnm.Database,FILESTAT!DF$3,bfy2009_)),0,DAVERAGE(_xlnm.Database,FILESTAT!DF$3,bfy2009_)),0)</f>
        <v>0</v>
      </c>
      <c r="DG106" s="122">
        <f>ROUND(IF(ISERROR(DAVERAGE(_xlnm.Database,FILESTAT!DG$3,bfy2009_)),0,DAVERAGE(_xlnm.Database,FILESTAT!DG$3,bfy2009_)),0)</f>
        <v>2</v>
      </c>
      <c r="DH106" s="122">
        <f>ROUND(IF(ISERROR(DAVERAGE(_xlnm.Database,FILESTAT!DH$3,bfy2009_)),0,DAVERAGE(_xlnm.Database,FILESTAT!DH$3,bfy2009_)),0)</f>
        <v>1</v>
      </c>
      <c r="DI106" s="122">
        <f>ROUND(IF(ISERROR(DAVERAGE(_xlnm.Database,FILESTAT!DI$3,bfy2009_)),0,DAVERAGE(_xlnm.Database,FILESTAT!DI$3,bfy2009_)),0)</f>
        <v>0</v>
      </c>
      <c r="DJ106" s="122">
        <f>ROUND(IF(ISERROR(DAVERAGE(_xlnm.Database,FILESTAT!DJ$3,bfy2009_)),0,DAVERAGE(_xlnm.Database,FILESTAT!DJ$3,bfy2009_)),0)</f>
        <v>0</v>
      </c>
      <c r="DK106" s="122"/>
      <c r="DL106" s="122">
        <f>ROUND(IF(ISERROR(DAVERAGE(_xlnm.Database,FILESTAT!DL$3,bfy2009_)),0,DAVERAGE(_xlnm.Database,FILESTAT!DL$3,bfy2009_)),0)</f>
        <v>0</v>
      </c>
      <c r="DM106" s="122">
        <f>ROUND(IF(ISERROR(DAVERAGE(_xlnm.Database,FILESTAT!DM$3,bfy2009_)),0,DAVERAGE(_xlnm.Database,FILESTAT!DM$3,bfy2009_)),0)</f>
        <v>2</v>
      </c>
      <c r="DN106" s="122">
        <f>ROUND(IF(ISERROR(DAVERAGE(_xlnm.Database,FILESTAT!DN$3,bfy2009_)),0,DAVERAGE(_xlnm.Database,FILESTAT!DN$3,bfy2009_)),0)</f>
        <v>0</v>
      </c>
      <c r="DO106" s="122">
        <f>ROUND(IF(ISERROR(DAVERAGE(_xlnm.Database,FILESTAT!DO$3,bfy2009_)),0,DAVERAGE(_xlnm.Database,FILESTAT!DO$3,bfy2009_)),0)</f>
        <v>1</v>
      </c>
      <c r="DP106" s="122">
        <f>ROUND(IF(ISERROR(DAVERAGE(_xlnm.Database,FILESTAT!DP$3,bfy2009_)),0,DAVERAGE(_xlnm.Database,FILESTAT!DP$3,bfy2009_)),0)</f>
        <v>0</v>
      </c>
      <c r="DQ106" s="122">
        <f>ROUND(IF(ISERROR(DAVERAGE(_xlnm.Database,FILESTAT!DQ$3,bfy2009_)),0,DAVERAGE(_xlnm.Database,FILESTAT!DQ$3,bfy2009_)),0)</f>
        <v>0</v>
      </c>
      <c r="DR106" s="122"/>
      <c r="DS106" s="122">
        <f>ROUND(IF(ISERROR(DAVERAGE(_xlnm.Database,FILESTAT!DS$3,bfy2009_)),0,DAVERAGE(_xlnm.Database,FILESTAT!DS$3,bfy2009_)),0)</f>
        <v>1</v>
      </c>
      <c r="DT106" s="122">
        <f>ROUND(IF(ISERROR(DAVERAGE(_xlnm.Database,FILESTAT!DT$3,bfy2009_)),0,DAVERAGE(_xlnm.Database,FILESTAT!DT$3,bfy2009_)),0)</f>
        <v>0</v>
      </c>
      <c r="DU106" s="122">
        <f>ROUND(IF(ISERROR(DAVERAGE(_xlnm.Database,FILESTAT!DU$3,bfy2009_)),0,DAVERAGE(_xlnm.Database,FILESTAT!DU$3,bfy2009_)),0)</f>
        <v>0</v>
      </c>
      <c r="DV106" s="127">
        <f t="shared" si="223"/>
        <v>46</v>
      </c>
      <c r="DW106" s="128"/>
    </row>
    <row r="107" spans="1:127" s="111" customFormat="1">
      <c r="A107" s="228">
        <v>2010</v>
      </c>
      <c r="B107" s="24"/>
      <c r="C107" s="121">
        <f>ROUND(IF(ISERROR(DAVERAGE(_xlnm.Database,FILESTAT!C$3,bfy2010_)),0,DAVERAGE(_xlnm.Database,FILESTAT!C$3,bfy2010_)),0)</f>
        <v>3</v>
      </c>
      <c r="D107" s="122">
        <f>ROUND(IF(ISERROR(DAVERAGE(_xlnm.Database,FILESTAT!D$3,bfy2010_)),0,DAVERAGE(_xlnm.Database,FILESTAT!D$3,bfy2010_)),0)</f>
        <v>19</v>
      </c>
      <c r="E107" s="122">
        <f>ROUND(IF(ISERROR(DAVERAGE(_xlnm.Database,FILESTAT!E$3,bfy2010_)),0,DAVERAGE(_xlnm.Database,FILESTAT!E$3,bfy2010_)),0)</f>
        <v>1</v>
      </c>
      <c r="F107" s="122">
        <f>ROUND(IF(ISERROR(DAVERAGE(_xlnm.Database,FILESTAT!F$3,bfy2010_)),0,DAVERAGE(_xlnm.Database,FILESTAT!F$3,bfy2010_)),0)</f>
        <v>0</v>
      </c>
      <c r="G107" s="122">
        <f>ROUND(IF(ISERROR(DAVERAGE(_xlnm.Database,FILESTAT!G$3,bfy2010_)),0,DAVERAGE(_xlnm.Database,FILESTAT!G$3,bfy2010_)),0)</f>
        <v>1</v>
      </c>
      <c r="H107" s="122">
        <f>ROUND(IF(ISERROR(DAVERAGE(_xlnm.Database,FILESTAT!H$3,bfy2010_)),0,DAVERAGE(_xlnm.Database,FILESTAT!H$3,bfy2010_)),0)</f>
        <v>1</v>
      </c>
      <c r="I107" s="122">
        <f>ROUND(IF(ISERROR(DAVERAGE(_xlnm.Database,FILESTAT!I$3,bfy2010_)),0,DAVERAGE(_xlnm.Database,FILESTAT!I$3,bfy2010_)),0)</f>
        <v>0</v>
      </c>
      <c r="J107" s="122">
        <f>ROUND(IF(ISERROR(DAVERAGE(_xlnm.Database,FILESTAT!J$3,bfy2010_)),0,DAVERAGE(_xlnm.Database,FILESTAT!J$3,bfy2010_)),0)</f>
        <v>10</v>
      </c>
      <c r="K107" s="122">
        <f>ROUND(IF(ISERROR(DAVERAGE(_xlnm.Database,FILESTAT!K$3,bfy2010_)),0,DAVERAGE(_xlnm.Database,FILESTAT!K$3,bfy2010_)),0)</f>
        <v>1</v>
      </c>
      <c r="L107" s="122">
        <f>ROUND(IF(ISERROR(DAVERAGE(_xlnm.Database,FILESTAT!L$3,bfy2010_)),0,DAVERAGE(_xlnm.Database,FILESTAT!L$3,bfy2010_)),0)</f>
        <v>0</v>
      </c>
      <c r="M107" s="122">
        <f>ROUND(IF(ISERROR(DAVERAGE(_xlnm.Database,FILESTAT!M$3,bfy2010_)),0,DAVERAGE(_xlnm.Database,FILESTAT!M$3,bfy2010_)),0)</f>
        <v>0</v>
      </c>
      <c r="N107" s="122">
        <f>ROUND(IF(ISERROR(DAVERAGE(_xlnm.Database,FILESTAT!N$3,bfy2010_)),0,DAVERAGE(_xlnm.Database,FILESTAT!N$3,bfy2010_)),0)</f>
        <v>0</v>
      </c>
      <c r="O107" s="122">
        <f>ROUND(IF(ISERROR(DAVERAGE(_xlnm.Database,FILESTAT!O$3,bfy2010_)),0,DAVERAGE(_xlnm.Database,FILESTAT!O$3,bfy2010_)),0)</f>
        <v>6</v>
      </c>
      <c r="P107" s="122">
        <f>ROUND(IF(ISERROR(DAVERAGE(_xlnm.Database,FILESTAT!P$3,bfy2010_)),0,DAVERAGE(_xlnm.Database,FILESTAT!P$3,bfy2010_)),0)</f>
        <v>2</v>
      </c>
      <c r="Q107" s="122">
        <f>ROUND(IF(ISERROR(DAVERAGE(_xlnm.Database,FILESTAT!Q$3,bfy2010_)),0,DAVERAGE(_xlnm.Database,FILESTAT!Q$3,bfy2010_)),0)</f>
        <v>0</v>
      </c>
      <c r="R107" s="123">
        <f>ROUND(IF(ISERROR(DAVERAGE(_xlnm.Database,FILESTAT!R$3,bfy2010_)),0,DAVERAGE(_xlnm.Database,FILESTAT!R$3,bfy2010_)),0)</f>
        <v>0</v>
      </c>
      <c r="S107" s="120">
        <f t="shared" si="221"/>
        <v>44</v>
      </c>
      <c r="T107" s="122">
        <f>ROUND(IF(ISERROR(DAVERAGE(_xlnm.Database,FILESTAT!T$3,bfy2010_)),0,DAVERAGE(_xlnm.Database,FILESTAT!T$3,bfy2010_)),0)</f>
        <v>0</v>
      </c>
      <c r="U107" s="122">
        <f>ROUND(IF(ISERROR(DAVERAGE(_xlnm.Database,FILESTAT!U$3,bfy2010_)),0,DAVERAGE(_xlnm.Database,FILESTAT!U$3,bfy2010_)),0)</f>
        <v>10</v>
      </c>
      <c r="V107" s="122"/>
      <c r="W107" s="122">
        <f>ROUND(IF(ISERROR(DAVERAGE(_xlnm.Database,FILESTAT!W$3,bfy2010_)),0,DAVERAGE(_xlnm.Database,FILESTAT!W$3,bfy2010_)),0)</f>
        <v>0</v>
      </c>
      <c r="X107" s="123">
        <f>ROUND(IF(ISERROR(DAVERAGE(_xlnm.Database,FILESTAT!X$3,bfy2010_)),0,DAVERAGE(_xlnm.Database,FILESTAT!X$3,bfy2010_)),0)</f>
        <v>0</v>
      </c>
      <c r="Z107" s="121">
        <f>ROUND(IF(ISERROR(DAVERAGE(_xlnm.Database,FILESTAT!Z$3,bfy2010_)),0,DAVERAGE(_xlnm.Database,FILESTAT!Z$3,bfy2010_)),0)</f>
        <v>472860</v>
      </c>
      <c r="AA107" s="122">
        <f>ROUND(IF(ISERROR(DAVERAGE(_xlnm.Database,FILESTAT!AA$3,bfy2010_)),0,DAVERAGE(_xlnm.Database,FILESTAT!AA$3,bfy2010_)),0)</f>
        <v>0</v>
      </c>
      <c r="AB107" s="122"/>
      <c r="AC107" s="121">
        <f>ROUND(IF(ISERROR(DAVERAGE(_xlnm.Database,FILESTAT!AC$3,bfy2010_)),0,DAVERAGE(_xlnm.Database,FILESTAT!AC$3,bfy2010_)),0)</f>
        <v>633365</v>
      </c>
      <c r="AD107" s="122">
        <f>ROUND(IF(ISERROR(DAVERAGE(_xlnm.Database,FILESTAT!AD$3,bfy2010_)),0,DAVERAGE(_xlnm.Database,FILESTAT!AD$3,bfy2010_)),0)</f>
        <v>0</v>
      </c>
      <c r="AE107" s="120">
        <f t="shared" si="222"/>
        <v>633365</v>
      </c>
      <c r="AG107" s="121">
        <f>ROUND(IF(ISERROR(DAVERAGE(_xlnm.Database,FILESTAT!AG$3,bfy2010_)),0,DAVERAGE(_xlnm.Database,FILESTAT!AG$3,bfy2010_)),0)</f>
        <v>78</v>
      </c>
      <c r="AH107" s="122">
        <f>ROUND(IF(ISERROR(DAVERAGE(_xlnm.Database,FILESTAT!AH$3,bfy2010_)),0,DAVERAGE(_xlnm.Database,FILESTAT!AH$3,bfy2010_)),0)</f>
        <v>17</v>
      </c>
      <c r="AI107" s="122">
        <f>ROUND(IF(ISERROR(DAVERAGE(_xlnm.Database,FILESTAT!AI$3,bfy2010_)),0,DAVERAGE(_xlnm.Database,FILESTAT!AI$3,bfy2010_)),0)</f>
        <v>112</v>
      </c>
      <c r="AJ107" s="123">
        <f>ROUND(IF(ISERROR(DAVERAGE(_xlnm.Database,FILESTAT!AJ$3,bfy2010_)),0,DAVERAGE(_xlnm.Database,FILESTAT!AJ$3,bfy2010_)),0)</f>
        <v>0</v>
      </c>
      <c r="AL107" s="121">
        <f>ROUND(IF(ISERROR(DAVERAGE(_xlnm.Database,FILESTAT!AL$3,bfy2010_)),0,DAVERAGE(_xlnm.Database,FILESTAT!AL$3,bfy2010_)),0)</f>
        <v>0</v>
      </c>
      <c r="AM107" s="122">
        <f>ROUND(IF(ISERROR(DAVERAGE(_xlnm.Database,FILESTAT!AM$3,bfy2010_)),0,DAVERAGE(_xlnm.Database,FILESTAT!AM$3,bfy2010_)),0)</f>
        <v>38</v>
      </c>
      <c r="AN107" s="120">
        <f>ROUND(SUM(AL107:AM107),0)</f>
        <v>38</v>
      </c>
      <c r="AO107" s="122">
        <f>ROUND(IF(ISERROR(DAVERAGE(_xlnm.Database,FILESTAT!AO$3,bfy2010_)),0,DAVERAGE(_xlnm.Database,FILESTAT!AO$3,bfy2010_)),0)</f>
        <v>0</v>
      </c>
      <c r="AP107" s="122">
        <f>ROUND(IF(ISERROR(DAVERAGE(_xlnm.Database,FILESTAT!AP$3,bfy2010_)),0,DAVERAGE(_xlnm.Database,FILESTAT!AP$3,bfy2010_)),0)</f>
        <v>0</v>
      </c>
      <c r="AQ107" s="120">
        <f>ROUND(SUM(AO107:AP107),0)</f>
        <v>0</v>
      </c>
      <c r="AR107" s="122">
        <f>ROUND(IF(ISERROR(DAVERAGE(_xlnm.Database,FILESTAT!AR$3,bfy2010_)),0,DAVERAGE(_xlnm.Database,FILESTAT!AR$3,bfy2010_)),0)</f>
        <v>138</v>
      </c>
      <c r="AS107" s="122">
        <f>ROUND(IF(ISERROR(DAVERAGE(_xlnm.Database,FILESTAT!AS$3,bfy2010_)),0,DAVERAGE(_xlnm.Database,FILESTAT!AS$3,bfy2010_)),0)</f>
        <v>91</v>
      </c>
      <c r="AT107" s="122">
        <f>ROUND(IF(ISERROR(DAVERAGE(_xlnm.Database,FILESTAT!AT$3,bfy2010_)),0,DAVERAGE(_xlnm.Database,FILESTAT!AT$3,bfy2010_)),0)</f>
        <v>148</v>
      </c>
      <c r="AU107" s="122">
        <f>ROUND(IF(ISERROR(DAVERAGE(_xlnm.Database,FILESTAT!AU$3,bfy2010_)),0,DAVERAGE(_xlnm.Database,FILESTAT!AU$3,bfy2010_)),0)</f>
        <v>16</v>
      </c>
      <c r="AV107" s="123">
        <f>ROUND(IF(ISERROR(DAVERAGE(_xlnm.Database,FILESTAT!AV$3,bfy2010_)),0,DAVERAGE(_xlnm.Database,FILESTAT!AV$3,bfy2010_)),0)</f>
        <v>304</v>
      </c>
      <c r="AW107"/>
      <c r="AX107" s="356"/>
      <c r="AY107"/>
      <c r="BA107" s="121">
        <f>ROUND(IF(ISERROR(DAVERAGE(_xlnm.Database,FILESTAT!BA$3,bfy2010_)),0,DAVERAGE(_xlnm.Database,FILESTAT!BA$3,bfy2010_)),0)</f>
        <v>1959</v>
      </c>
      <c r="BB107" s="122">
        <f>ROUND(IF(ISERROR(DAVERAGE(_xlnm.Database,FILESTAT!BB$3,bfy2010_)),0,DAVERAGE(_xlnm.Database,FILESTAT!BB$3,bfy2010_)),0)</f>
        <v>62491940</v>
      </c>
      <c r="BC107" s="122">
        <f>ROUND(IF(ISERROR(DAVERAGE(_xlnm.Database,FILESTAT!BC$3,bfy2010_)),0,DAVERAGE(_xlnm.Database,FILESTAT!BC$3,bfy2010_)),0)</f>
        <v>0</v>
      </c>
      <c r="BD107" s="122"/>
      <c r="BE107" s="122">
        <f>ROUND(IF(ISERROR(DAVERAGE(_xlnm.Database,FILESTAT!BE$3,bfy2010_)),0,DAVERAGE(_xlnm.Database,FILESTAT!BE$3,bfy2010_)),0)</f>
        <v>65</v>
      </c>
      <c r="BF107" s="122">
        <f>ROUND(IF(ISERROR(DAVERAGE(_xlnm.Database,FILESTAT!BF$3,bfy2010_)),0,DAVERAGE(_xlnm.Database,FILESTAT!BF$3,bfy2010_)),0)</f>
        <v>5</v>
      </c>
      <c r="BG107" s="122">
        <f>ROUND(IF(ISERROR(DAVERAGE(_xlnm.Database,FILESTAT!BG$3,bfy2010_)),0,DAVERAGE(_xlnm.Database,FILESTAT!BG$3,bfy2010_)),0)</f>
        <v>2</v>
      </c>
      <c r="BH107" s="122"/>
      <c r="BI107" s="122">
        <f>ROUND(IF(ISERROR(DAVERAGE(_xlnm.Database,FILESTAT!BI$3,bfy2010_)),0,DAVERAGE(_xlnm.Database,FILESTAT!BI$3,bfy2010_)),0)</f>
        <v>3513975</v>
      </c>
      <c r="BJ107" s="122"/>
      <c r="BK107" s="122"/>
      <c r="BL107" s="122"/>
      <c r="BM107" s="123">
        <f>ROUND(IF(ISERROR(DAVERAGE(_xlnm.Database,FILESTAT!BM$3,bfy2010_)),0,DAVERAGE(_xlnm.Database,FILESTAT!BM$3,bfy2010_)),0)</f>
        <v>0</v>
      </c>
      <c r="BO107" s="121">
        <f>ROUND(IF(ISERROR(DAVERAGE(_xlnm.Database,FILESTAT!BO$3,bfy2010_)),0,DAVERAGE(_xlnm.Database,FILESTAT!BO$3,bfy2010_)),0)</f>
        <v>0</v>
      </c>
      <c r="BP107" s="123">
        <f>ROUND(IF(ISERROR(DAVERAGE(_xlnm.Database,FILESTAT!BP$3,bfy2010_)),0,DAVERAGE(_xlnm.Database,FILESTAT!BP$3,bfy2010_)),0)</f>
        <v>165</v>
      </c>
      <c r="BR107" s="252"/>
      <c r="BS107" s="179"/>
      <c r="BT107" s="251"/>
      <c r="BV107" s="121">
        <f>ROUND(IF(ISERROR(DAVERAGE(_xlnm.Database,FILESTAT!BV$3,bfy2010_)),0,DAVERAGE(_xlnm.Database,FILESTAT!BV$3,bfy2010_)),0)</f>
        <v>2</v>
      </c>
      <c r="BW107" s="122">
        <f>ROUND(IF(ISERROR(DAVERAGE(_xlnm.Database,FILESTAT!BW$3,bfy2010_)),0,DAVERAGE(_xlnm.Database,FILESTAT!BW$3,bfy2010_)),0)</f>
        <v>1</v>
      </c>
      <c r="BX107" s="122">
        <f>ROUND(IF(ISERROR(DAVERAGE(_xlnm.Database,FILESTAT!BX$3,bfy2010_)),0,DAVERAGE(_xlnm.Database,FILESTAT!BX$3,bfy2010_)),0)</f>
        <v>1</v>
      </c>
      <c r="BY107" s="122">
        <f>ROUND(IF(ISERROR(DAVERAGE(_xlnm.Database,FILESTAT!BY$3,bfy2010_)),0,DAVERAGE(_xlnm.Database,FILESTAT!BY$3,bfy2010_)),0)</f>
        <v>0</v>
      </c>
      <c r="BZ107" s="122">
        <f>ROUND(IF(ISERROR(DAVERAGE(_xlnm.Database,FILESTAT!BZ$3,bfy2010_)),0,DAVERAGE(_xlnm.Database,FILESTAT!BZ$3,bfy2010_)),0)</f>
        <v>0</v>
      </c>
      <c r="CA107" s="122">
        <f>ROUND(IF(ISERROR(DAVERAGE(_xlnm.Database,FILESTAT!CA$3,bfy2010_)),0,DAVERAGE(_xlnm.Database,FILESTAT!CA$3,bfy2010_)),0)</f>
        <v>1</v>
      </c>
      <c r="CB107" s="122">
        <f>ROUND(IF(ISERROR(DAVERAGE(_xlnm.Database,FILESTAT!CB$3,bfy2010_)),0,DAVERAGE(_xlnm.Database,FILESTAT!CB$3,bfy2010_)),0)</f>
        <v>0</v>
      </c>
      <c r="CC107" s="122"/>
      <c r="CD107" s="122">
        <f>ROUND(IF(ISERROR(DAVERAGE(_xlnm.Database,FILESTAT!CD$3,bfy2010_)),0,DAVERAGE(_xlnm.Database,FILESTAT!CD$3,bfy2010_)),0)</f>
        <v>5</v>
      </c>
      <c r="CE107" s="122">
        <f>ROUND(IF(ISERROR(DAVERAGE(_xlnm.Database,FILESTAT!CE$3,bfy2010_)),0,DAVERAGE(_xlnm.Database,FILESTAT!CE$3,bfy2010_)),0)</f>
        <v>0</v>
      </c>
      <c r="CF107" s="122">
        <f>ROUND(IF(ISERROR(DAVERAGE(_xlnm.Database,FILESTAT!CF$3,bfy2010_)),0,DAVERAGE(_xlnm.Database,FILESTAT!CF$3,bfy2010_)),0)</f>
        <v>0</v>
      </c>
      <c r="CG107" s="122">
        <f>ROUND(IF(ISERROR(DAVERAGE(_xlnm.Database,FILESTAT!CG$3,bfy2010_)),0,DAVERAGE(_xlnm.Database,FILESTAT!CG$3,bfy2010_)),0)</f>
        <v>0</v>
      </c>
      <c r="CH107" s="122">
        <f>ROUND(IF(ISERROR(DAVERAGE(_xlnm.Database,FILESTAT!CH$3,bfy2010_)),0,DAVERAGE(_xlnm.Database,FILESTAT!CH$3,bfy2010_)),0)</f>
        <v>0</v>
      </c>
      <c r="CI107" s="122">
        <f>ROUND(IF(ISERROR(DAVERAGE(_xlnm.Database,FILESTAT!CI$3,bfy2010_)),0,DAVERAGE(_xlnm.Database,FILESTAT!CI$3,bfy2010_)),0)</f>
        <v>2</v>
      </c>
      <c r="CJ107" s="122">
        <f>ROUND(IF(ISERROR(DAVERAGE(_xlnm.Database,FILESTAT!CJ$3,bfy2010_)),0,DAVERAGE(_xlnm.Database,FILESTAT!CJ$3,bfy2010_)),0)</f>
        <v>4</v>
      </c>
      <c r="CK107" s="122"/>
      <c r="CL107" s="122"/>
      <c r="CM107" s="122">
        <f>ROUND(IF(ISERROR(DAVERAGE(_xlnm.Database,FILESTAT!CM$3,bfy2010_)),0,DAVERAGE(_xlnm.Database,FILESTAT!CM$3,bfy2010_)),0)</f>
        <v>0</v>
      </c>
      <c r="CN107" s="122">
        <f>ROUND(IF(ISERROR(DAVERAGE(_xlnm.Database,FILESTAT!CN$3,bfy2010_)),0,DAVERAGE(_xlnm.Database,FILESTAT!CN$3,bfy2010_)),0)</f>
        <v>0</v>
      </c>
      <c r="CO107" s="122">
        <f>ROUND(IF(ISERROR(DAVERAGE(_xlnm.Database,FILESTAT!CO$3,bfy2010_)),0,DAVERAGE(_xlnm.Database,FILESTAT!CO$3,bfy2010_)),0)</f>
        <v>8</v>
      </c>
      <c r="CP107" s="122"/>
      <c r="CQ107" s="122">
        <f>ROUND(IF(ISERROR(DAVERAGE(_xlnm.Database,FILESTAT!CQ$3,bfy2010_)),0,DAVERAGE(_xlnm.Database,FILESTAT!CQ$3,bfy2010_)),0)</f>
        <v>0</v>
      </c>
      <c r="CR107" s="122"/>
      <c r="CS107" s="122">
        <f>ROUND(IF(ISERROR(DAVERAGE(_xlnm.Database,FILESTAT!CS$3,bfy2010_)),0,DAVERAGE(_xlnm.Database,FILESTAT!CS$3,bfy2010_)),0)</f>
        <v>1</v>
      </c>
      <c r="CT107" s="122">
        <f>ROUND(IF(ISERROR(DAVERAGE(_xlnm.Database,FILESTAT!CT$3,bfy2010_)),0,DAVERAGE(_xlnm.Database,FILESTAT!CT$3,bfy2010_)),0)</f>
        <v>2</v>
      </c>
      <c r="CU107" s="122">
        <f>ROUND(IF(ISERROR(DAVERAGE(_xlnm.Database,FILESTAT!CU$3,bfy2010_)),0,DAVERAGE(_xlnm.Database,FILESTAT!CU$3,bfy2010_)),0)</f>
        <v>0</v>
      </c>
      <c r="CV107" s="122">
        <f>ROUND(IF(ISERROR(DAVERAGE(_xlnm.Database,FILESTAT!CV$3,bfy2010_)),0,DAVERAGE(_xlnm.Database,FILESTAT!CV$3,bfy2010_)),0)</f>
        <v>3</v>
      </c>
      <c r="CW107" s="122">
        <f>ROUND(IF(ISERROR(DAVERAGE(_xlnm.Database,FILESTAT!CW$3,bfy2010_)),0,DAVERAGE(_xlnm.Database,FILESTAT!CW$3,bfy2010_)),0)</f>
        <v>0</v>
      </c>
      <c r="CX107" s="122"/>
      <c r="CY107" s="122">
        <f>ROUND(IF(ISERROR(DAVERAGE(_xlnm.Database,FILESTAT!CY$3,bfy2010_)),0,DAVERAGE(_xlnm.Database,FILESTAT!CY$3,bfy2010_)),0)</f>
        <v>1</v>
      </c>
      <c r="CZ107" s="122">
        <f>ROUND(IF(ISERROR(DAVERAGE(_xlnm.Database,FILESTAT!CZ$3,bfy2010_)),0,DAVERAGE(_xlnm.Database,FILESTAT!CZ$3,bfy2010_)),0)</f>
        <v>0</v>
      </c>
      <c r="DA107" s="122">
        <f>ROUND(IF(ISERROR(DAVERAGE(_xlnm.Database,FILESTAT!DA$3,bfy2010_)),0,DAVERAGE(_xlnm.Database,FILESTAT!DA$3,bfy2010_)),0)</f>
        <v>0</v>
      </c>
      <c r="DB107" s="122">
        <f>ROUND(IF(ISERROR(DAVERAGE(_xlnm.Database,FILESTAT!DB$3,bfy2010_)),0,DAVERAGE(_xlnm.Database,FILESTAT!DB$3,bfy2010_)),0)</f>
        <v>3</v>
      </c>
      <c r="DC107" s="122">
        <f>ROUND(IF(ISERROR(DAVERAGE(_xlnm.Database,FILESTAT!DC$3,bfy2010_)),0,DAVERAGE(_xlnm.Database,FILESTAT!DC$3,bfy2010_)),0)</f>
        <v>0</v>
      </c>
      <c r="DD107" s="122">
        <f>ROUND(IF(ISERROR(DAVERAGE(_xlnm.Database,FILESTAT!DD$3,bfy2010_)),0,DAVERAGE(_xlnm.Database,FILESTAT!DD$3,bfy2010_)),0)</f>
        <v>0</v>
      </c>
      <c r="DE107" s="122">
        <f>ROUND(IF(ISERROR(DAVERAGE(_xlnm.Database,FILESTAT!DE$3,bfy2010_)),0,DAVERAGE(_xlnm.Database,FILESTAT!DE$3,bfy2010_)),0)</f>
        <v>0</v>
      </c>
      <c r="DF107" s="122">
        <f>ROUND(IF(ISERROR(DAVERAGE(_xlnm.Database,FILESTAT!DF$3,bfy2010_)),0,DAVERAGE(_xlnm.Database,FILESTAT!DF$3,bfy2010_)),0)</f>
        <v>0</v>
      </c>
      <c r="DG107" s="122">
        <f>ROUND(IF(ISERROR(DAVERAGE(_xlnm.Database,FILESTAT!DG$3,bfy2010_)),0,DAVERAGE(_xlnm.Database,FILESTAT!DG$3,bfy2010_)),0)</f>
        <v>1</v>
      </c>
      <c r="DH107" s="122">
        <f>ROUND(IF(ISERROR(DAVERAGE(_xlnm.Database,FILESTAT!DH$3,bfy2010_)),0,DAVERAGE(_xlnm.Database,FILESTAT!DH$3,bfy2010_)),0)</f>
        <v>0</v>
      </c>
      <c r="DI107" s="122">
        <f>ROUND(IF(ISERROR(DAVERAGE(_xlnm.Database,FILESTAT!DI$3,bfy2010_)),0,DAVERAGE(_xlnm.Database,FILESTAT!DI$3,bfy2010_)),0)</f>
        <v>0</v>
      </c>
      <c r="DJ107" s="122">
        <f>ROUND(IF(ISERROR(DAVERAGE(_xlnm.Database,FILESTAT!DJ$3,bfy2010_)),0,DAVERAGE(_xlnm.Database,FILESTAT!DJ$3,bfy2010_)),0)</f>
        <v>1</v>
      </c>
      <c r="DK107" s="122"/>
      <c r="DL107" s="122">
        <f>ROUND(IF(ISERROR(DAVERAGE(_xlnm.Database,FILESTAT!DL$3,bfy2010_)),0,DAVERAGE(_xlnm.Database,FILESTAT!DL$3,bfy2010_)),0)</f>
        <v>0</v>
      </c>
      <c r="DM107" s="122">
        <f>ROUND(IF(ISERROR(DAVERAGE(_xlnm.Database,FILESTAT!DM$3,bfy2010_)),0,DAVERAGE(_xlnm.Database,FILESTAT!DM$3,bfy2010_)),0)</f>
        <v>2</v>
      </c>
      <c r="DN107" s="122">
        <f>ROUND(IF(ISERROR(DAVERAGE(_xlnm.Database,FILESTAT!DN$3,bfy2010_)),0,DAVERAGE(_xlnm.Database,FILESTAT!DN$3,bfy2010_)),0)</f>
        <v>0</v>
      </c>
      <c r="DO107" s="122">
        <f>ROUND(IF(ISERROR(DAVERAGE(_xlnm.Database,FILESTAT!DO$3,bfy2010_)),0,DAVERAGE(_xlnm.Database,FILESTAT!DO$3,bfy2010_)),0)</f>
        <v>1</v>
      </c>
      <c r="DP107" s="122">
        <f>ROUND(IF(ISERROR(DAVERAGE(_xlnm.Database,FILESTAT!DP$3,bfy2010_)),0,DAVERAGE(_xlnm.Database,FILESTAT!DP$3,bfy2010_)),0)</f>
        <v>0</v>
      </c>
      <c r="DQ107" s="122">
        <f>ROUND(IF(ISERROR(DAVERAGE(_xlnm.Database,FILESTAT!DQ$3,bfy2010_)),0,DAVERAGE(_xlnm.Database,FILESTAT!DQ$3,bfy2010_)),0)</f>
        <v>0</v>
      </c>
      <c r="DR107" s="122"/>
      <c r="DS107" s="122">
        <f>ROUND(IF(ISERROR(DAVERAGE(_xlnm.Database,FILESTAT!DS$3,bfy2010_)),0,DAVERAGE(_xlnm.Database,FILESTAT!DS$3,bfy2010_)),0)</f>
        <v>1</v>
      </c>
      <c r="DT107" s="122">
        <f>ROUND(IF(ISERROR(DAVERAGE(_xlnm.Database,FILESTAT!DT$3,bfy2010_)),0,DAVERAGE(_xlnm.Database,FILESTAT!DT$3,bfy2010_)),0)</f>
        <v>0</v>
      </c>
      <c r="DU107" s="122">
        <f>ROUND(IF(ISERROR(DAVERAGE(_xlnm.Database,FILESTAT!DU$3,bfy2010_)),0,DAVERAGE(_xlnm.Database,FILESTAT!DU$3,bfy2010_)),0)</f>
        <v>0</v>
      </c>
      <c r="DV107" s="127">
        <f t="shared" si="223"/>
        <v>40</v>
      </c>
      <c r="DW107" s="128"/>
    </row>
    <row r="108" spans="1:127" s="111" customFormat="1">
      <c r="A108" s="228">
        <v>2011</v>
      </c>
      <c r="B108" s="24"/>
      <c r="C108" s="121">
        <f>ROUND(IF(ISERROR(DAVERAGE(_xlnm.Database,FILESTAT!C$3,bfy2011_)),0,DAVERAGE(_xlnm.Database,FILESTAT!C$3,bfy2011_)),0)</f>
        <v>2</v>
      </c>
      <c r="D108" s="122">
        <f>ROUND(IF(ISERROR(DAVERAGE(_xlnm.Database,FILESTAT!D$3,bfy2011_)),0,DAVERAGE(_xlnm.Database,FILESTAT!D$3,bfy2011_)),0)</f>
        <v>19</v>
      </c>
      <c r="E108" s="122">
        <f>ROUND(IF(ISERROR(DAVERAGE(_xlnm.Database,FILESTAT!E$3,bfy2011_)),0,DAVERAGE(_xlnm.Database,FILESTAT!E$3,bfy2011_)),0)</f>
        <v>2</v>
      </c>
      <c r="F108" s="122">
        <f>ROUND(IF(ISERROR(DAVERAGE(_xlnm.Database,FILESTAT!F$3,bfy2011_)),0,DAVERAGE(_xlnm.Database,FILESTAT!F$3,bfy2011_)),0)</f>
        <v>1</v>
      </c>
      <c r="G108" s="122">
        <f>ROUND(IF(ISERROR(DAVERAGE(_xlnm.Database,FILESTAT!G$3,bfy2011_)),0,DAVERAGE(_xlnm.Database,FILESTAT!G$3,bfy2011_)),0)</f>
        <v>0</v>
      </c>
      <c r="H108" s="122">
        <f>ROUND(IF(ISERROR(DAVERAGE(_xlnm.Database,FILESTAT!H$3,bfy2011_)),0,DAVERAGE(_xlnm.Database,FILESTAT!H$3,bfy2011_)),0)</f>
        <v>1</v>
      </c>
      <c r="I108" s="122">
        <f>ROUND(IF(ISERROR(DAVERAGE(_xlnm.Database,FILESTAT!I$3,bfy2011_)),0,DAVERAGE(_xlnm.Database,FILESTAT!I$3,bfy2011_)),0)</f>
        <v>0</v>
      </c>
      <c r="J108" s="122">
        <f>ROUND(IF(ISERROR(DAVERAGE(_xlnm.Database,FILESTAT!J$3,bfy2011_)),0,DAVERAGE(_xlnm.Database,FILESTAT!J$3,bfy2011_)),0)</f>
        <v>11</v>
      </c>
      <c r="K108" s="122">
        <f>ROUND(IF(ISERROR(DAVERAGE(_xlnm.Database,FILESTAT!K$3,bfy2011_)),0,DAVERAGE(_xlnm.Database,FILESTAT!K$3,bfy2011_)),0)</f>
        <v>0</v>
      </c>
      <c r="L108" s="122">
        <f>ROUND(IF(ISERROR(DAVERAGE(_xlnm.Database,FILESTAT!L$3,bfy2011_)),0,DAVERAGE(_xlnm.Database,FILESTAT!L$3,bfy2011_)),0)</f>
        <v>0</v>
      </c>
      <c r="M108" s="122">
        <f>ROUND(IF(ISERROR(DAVERAGE(_xlnm.Database,FILESTAT!M$3,bfy2011_)),0,DAVERAGE(_xlnm.Database,FILESTAT!M$3,bfy2011_)),0)</f>
        <v>0</v>
      </c>
      <c r="N108" s="122">
        <f>ROUND(IF(ISERROR(DAVERAGE(_xlnm.Database,FILESTAT!N$3,bfy2011_)),0,DAVERAGE(_xlnm.Database,FILESTAT!N$3,bfy2011_)),0)</f>
        <v>0</v>
      </c>
      <c r="O108" s="122">
        <f>ROUND(IF(ISERROR(DAVERAGE(_xlnm.Database,FILESTAT!O$3,bfy2011_)),0,DAVERAGE(_xlnm.Database,FILESTAT!O$3,bfy2011_)),0)</f>
        <v>13</v>
      </c>
      <c r="P108" s="122">
        <f>ROUND(IF(ISERROR(DAVERAGE(_xlnm.Database,FILESTAT!P$3,bfy2011_)),0,DAVERAGE(_xlnm.Database,FILESTAT!P$3,bfy2011_)),0)</f>
        <v>1</v>
      </c>
      <c r="Q108" s="122">
        <f>ROUND(IF(ISERROR(DAVERAGE(_xlnm.Database,FILESTAT!Q$3,bfy2011_)),0,DAVERAGE(_xlnm.Database,FILESTAT!Q$3,bfy2011_)),0)</f>
        <v>0</v>
      </c>
      <c r="R108" s="123">
        <f>ROUND(IF(ISERROR(DAVERAGE(_xlnm.Database,FILESTAT!R$3,bfy2011_)),0,DAVERAGE(_xlnm.Database,FILESTAT!R$3,bfy2011_)),0)</f>
        <v>0</v>
      </c>
      <c r="S108" s="120">
        <f t="shared" si="221"/>
        <v>50</v>
      </c>
      <c r="T108" s="122">
        <f>ROUND(IF(ISERROR(DAVERAGE(_xlnm.Database,FILESTAT!T$3,bfy2011_)),0,DAVERAGE(_xlnm.Database,FILESTAT!T$3,bfy2011_)),0)</f>
        <v>0</v>
      </c>
      <c r="U108" s="122">
        <f>ROUND(IF(ISERROR(DAVERAGE(_xlnm.Database,FILESTAT!U$3,bfy2011_)),0,DAVERAGE(_xlnm.Database,FILESTAT!U$3,bfy2011_)),0)</f>
        <v>15</v>
      </c>
      <c r="V108" s="122"/>
      <c r="W108" s="122">
        <f>ROUND(IF(ISERROR(DAVERAGE(_xlnm.Database,FILESTAT!W$3,bfy2011_)),0,DAVERAGE(_xlnm.Database,FILESTAT!W$3,bfy2011_)),0)</f>
        <v>0</v>
      </c>
      <c r="X108" s="123">
        <f>ROUND(IF(ISERROR(DAVERAGE(_xlnm.Database,FILESTAT!X$3,bfy2011_)),0,DAVERAGE(_xlnm.Database,FILESTAT!X$3,bfy2011_)),0)</f>
        <v>0</v>
      </c>
      <c r="Z108" s="121">
        <f>ROUND(IF(ISERROR(DAVERAGE(_xlnm.Database,FILESTAT!Z$3,bfy2011_)),0,DAVERAGE(_xlnm.Database,FILESTAT!Z$3,bfy2011_)),0)</f>
        <v>364087</v>
      </c>
      <c r="AA108" s="122">
        <f>ROUND(IF(ISERROR(DAVERAGE(_xlnm.Database,FILESTAT!AA$3,bfy2011_)),0,DAVERAGE(_xlnm.Database,FILESTAT!AA$3,bfy2011_)),0)</f>
        <v>0</v>
      </c>
      <c r="AB108" s="122"/>
      <c r="AC108" s="121">
        <f>ROUND(IF(ISERROR(DAVERAGE(_xlnm.Database,FILESTAT!AC$3,bfy2011_)),0,DAVERAGE(_xlnm.Database,FILESTAT!AC$3,bfy2011_)),0)</f>
        <v>1214468</v>
      </c>
      <c r="AD108" s="122">
        <f>ROUND(IF(ISERROR(DAVERAGE(_xlnm.Database,FILESTAT!AD$3,bfy2011_)),0,DAVERAGE(_xlnm.Database,FILESTAT!AD$3,bfy2011_)),0)</f>
        <v>0</v>
      </c>
      <c r="AE108" s="120">
        <f t="shared" si="222"/>
        <v>1214468</v>
      </c>
      <c r="AG108" s="121">
        <f>ROUND(IF(ISERROR(DAVERAGE(_xlnm.Database,FILESTAT!AG$3,bfy2011_)),0,DAVERAGE(_xlnm.Database,FILESTAT!AG$3,bfy2011_)),0)</f>
        <v>83</v>
      </c>
      <c r="AH108" s="122">
        <f>ROUND(IF(ISERROR(DAVERAGE(_xlnm.Database,FILESTAT!AH$3,bfy2011_)),0,DAVERAGE(_xlnm.Database,FILESTAT!AH$3,bfy2011_)),0)</f>
        <v>51</v>
      </c>
      <c r="AI108" s="122">
        <f>ROUND(IF(ISERROR(DAVERAGE(_xlnm.Database,FILESTAT!AI$3,bfy2011_)),0,DAVERAGE(_xlnm.Database,FILESTAT!AI$3,bfy2011_)),0)</f>
        <v>149</v>
      </c>
      <c r="AJ108" s="123">
        <f>ROUND(IF(ISERROR(DAVERAGE(_xlnm.Database,FILESTAT!AJ$3,bfy2011_)),0,DAVERAGE(_xlnm.Database,FILESTAT!AJ$3,bfy2011_)),0)</f>
        <v>0</v>
      </c>
      <c r="AL108" s="121">
        <f>ROUND(IF(ISERROR(DAVERAGE(_xlnm.Database,FILESTAT!AL$3,bfy2011_)),0,DAVERAGE(_xlnm.Database,FILESTAT!AL$3,bfy2011_)),0)</f>
        <v>0</v>
      </c>
      <c r="AM108" s="122">
        <f>ROUND(IF(ISERROR(DAVERAGE(_xlnm.Database,FILESTAT!AM$3,bfy2011_)),0,DAVERAGE(_xlnm.Database,FILESTAT!AM$3,bfy2011_)),0)</f>
        <v>37</v>
      </c>
      <c r="AN108" s="120">
        <f>ROUND(SUM(AL108:AM108),0)</f>
        <v>37</v>
      </c>
      <c r="AO108" s="122">
        <f>ROUND(IF(ISERROR(DAVERAGE(_xlnm.Database,FILESTAT!AO$3,bfy2011_)),0,DAVERAGE(_xlnm.Database,FILESTAT!AO$3,bfy2011_)),0)</f>
        <v>0</v>
      </c>
      <c r="AP108" s="122">
        <f>ROUND(IF(ISERROR(DAVERAGE(_xlnm.Database,FILESTAT!AP$3,bfy2011_)),0,DAVERAGE(_xlnm.Database,FILESTAT!AP$3,bfy2011_)),0)</f>
        <v>0</v>
      </c>
      <c r="AQ108" s="120">
        <f>ROUND(SUM(AO108:AP108),0)</f>
        <v>0</v>
      </c>
      <c r="AR108" s="122">
        <f>ROUND(IF(ISERROR(DAVERAGE(_xlnm.Database,FILESTAT!AR$3,bfy2011_)),0,DAVERAGE(_xlnm.Database,FILESTAT!AR$3,bfy2011_)),0)</f>
        <v>147</v>
      </c>
      <c r="AS108" s="122">
        <f>ROUND(IF(ISERROR(DAVERAGE(_xlnm.Database,FILESTAT!AS$3,bfy2011_)),0,DAVERAGE(_xlnm.Database,FILESTAT!AS$3,bfy2011_)),0)</f>
        <v>98</v>
      </c>
      <c r="AT108" s="122">
        <f>ROUND(IF(ISERROR(DAVERAGE(_xlnm.Database,FILESTAT!AT$3,bfy2011_)),0,DAVERAGE(_xlnm.Database,FILESTAT!AT$3,bfy2011_)),0)</f>
        <v>165</v>
      </c>
      <c r="AU108" s="122">
        <f>ROUND(IF(ISERROR(DAVERAGE(_xlnm.Database,FILESTAT!AU$3,bfy2011_)),0,DAVERAGE(_xlnm.Database,FILESTAT!AU$3,bfy2011_)),0)</f>
        <v>18</v>
      </c>
      <c r="AV108" s="123">
        <f>ROUND(IF(ISERROR(DAVERAGE(_xlnm.Database,FILESTAT!AV$3,bfy2011_)),0,DAVERAGE(_xlnm.Database,FILESTAT!AV$3,bfy2011_)),0)</f>
        <v>330</v>
      </c>
      <c r="AW108"/>
      <c r="AX108" s="356"/>
      <c r="AY108"/>
      <c r="BA108" s="121">
        <f>ROUND(IF(ISERROR(DAVERAGE(_xlnm.Database,FILESTAT!BA$3,bfy2011_)),0,DAVERAGE(_xlnm.Database,FILESTAT!BA$3,bfy2011_)),0)</f>
        <v>1974</v>
      </c>
      <c r="BB108" s="122">
        <f>ROUND(IF(ISERROR(DAVERAGE(_xlnm.Database,FILESTAT!BB$3,bfy2011_)),0,DAVERAGE(_xlnm.Database,FILESTAT!BB$3,bfy2011_)),0)</f>
        <v>65815261</v>
      </c>
      <c r="BC108" s="122">
        <f>ROUND(IF(ISERROR(DAVERAGE(_xlnm.Database,FILESTAT!BC$3,bfy2011_)),0,DAVERAGE(_xlnm.Database,FILESTAT!BC$3,bfy2011_)),0)</f>
        <v>0</v>
      </c>
      <c r="BD108" s="122"/>
      <c r="BE108" s="122">
        <f>ROUND(IF(ISERROR(DAVERAGE(_xlnm.Database,FILESTAT!BE$3,bfy2011_)),0,DAVERAGE(_xlnm.Database,FILESTAT!BE$3,bfy2011_)),0)</f>
        <v>78</v>
      </c>
      <c r="BF108" s="122">
        <f>ROUND(IF(ISERROR(DAVERAGE(_xlnm.Database,FILESTAT!BF$3,bfy2011_)),0,DAVERAGE(_xlnm.Database,FILESTAT!BF$3,bfy2011_)),0)</f>
        <v>4</v>
      </c>
      <c r="BG108" s="122">
        <f>ROUND(IF(ISERROR(DAVERAGE(_xlnm.Database,FILESTAT!BG$3,bfy2011_)),0,DAVERAGE(_xlnm.Database,FILESTAT!BG$3,bfy2011_)),0)</f>
        <v>3</v>
      </c>
      <c r="BH108" s="122"/>
      <c r="BI108" s="122">
        <f>ROUND(IF(ISERROR(DAVERAGE(_xlnm.Database,FILESTAT!BI$3,bfy2011_)),0,DAVERAGE(_xlnm.Database,FILESTAT!BI$3,bfy2011_)),0)</f>
        <v>4014257</v>
      </c>
      <c r="BJ108" s="122"/>
      <c r="BK108" s="122"/>
      <c r="BL108" s="122"/>
      <c r="BM108" s="123">
        <f>ROUND(IF(ISERROR(DAVERAGE(_xlnm.Database,FILESTAT!BM$3,bfy2011_)),0,DAVERAGE(_xlnm.Database,FILESTAT!BM$3,bfy2011_)),0)</f>
        <v>0</v>
      </c>
      <c r="BO108" s="121">
        <f>ROUND(IF(ISERROR(DAVERAGE(_xlnm.Database,FILESTAT!BO$3,bfy2011_)),0,DAVERAGE(_xlnm.Database,FILESTAT!BO$3,bfy2011_)),0)</f>
        <v>0</v>
      </c>
      <c r="BP108" s="123">
        <f>ROUND(IF(ISERROR(DAVERAGE(_xlnm.Database,FILESTAT!BP$3,bfy2011_)),0,DAVERAGE(_xlnm.Database,FILESTAT!BP$3,bfy2011_)),0)</f>
        <v>166</v>
      </c>
      <c r="BR108" s="252"/>
      <c r="BS108" s="179"/>
      <c r="BT108" s="251"/>
      <c r="BV108" s="121">
        <f>ROUND(IF(ISERROR(DAVERAGE(_xlnm.Database,FILESTAT!BV$3,bfy2011_)),0,DAVERAGE(_xlnm.Database,FILESTAT!BV$3,bfy2011_)),0)</f>
        <v>3</v>
      </c>
      <c r="BW108" s="122">
        <f>ROUND(IF(ISERROR(DAVERAGE(_xlnm.Database,FILESTAT!BW$3,bfy2011_)),0,DAVERAGE(_xlnm.Database,FILESTAT!BW$3,bfy2011_)),0)</f>
        <v>4</v>
      </c>
      <c r="BX108" s="122">
        <f>ROUND(IF(ISERROR(DAVERAGE(_xlnm.Database,FILESTAT!BX$3,bfy2011_)),0,DAVERAGE(_xlnm.Database,FILESTAT!BX$3,bfy2011_)),0)</f>
        <v>4</v>
      </c>
      <c r="BY108" s="122">
        <f>ROUND(IF(ISERROR(DAVERAGE(_xlnm.Database,FILESTAT!BY$3,bfy2011_)),0,DAVERAGE(_xlnm.Database,FILESTAT!BY$3,bfy2011_)),0)</f>
        <v>0</v>
      </c>
      <c r="BZ108" s="122">
        <f>ROUND(IF(ISERROR(DAVERAGE(_xlnm.Database,FILESTAT!BZ$3,bfy2011_)),0,DAVERAGE(_xlnm.Database,FILESTAT!BZ$3,bfy2011_)),0)</f>
        <v>0</v>
      </c>
      <c r="CA108" s="122">
        <f>ROUND(IF(ISERROR(DAVERAGE(_xlnm.Database,FILESTAT!CA$3,bfy2011_)),0,DAVERAGE(_xlnm.Database,FILESTAT!CA$3,bfy2011_)),0)</f>
        <v>3</v>
      </c>
      <c r="CB108" s="122">
        <f>ROUND(IF(ISERROR(DAVERAGE(_xlnm.Database,FILESTAT!CB$3,bfy2011_)),0,DAVERAGE(_xlnm.Database,FILESTAT!CB$3,bfy2011_)),0)</f>
        <v>1</v>
      </c>
      <c r="CC108" s="122"/>
      <c r="CD108" s="122">
        <f>ROUND(IF(ISERROR(DAVERAGE(_xlnm.Database,FILESTAT!CD$3,bfy2011_)),0,DAVERAGE(_xlnm.Database,FILESTAT!CD$3,bfy2011_)),0)</f>
        <v>5</v>
      </c>
      <c r="CE108" s="122">
        <f>ROUND(IF(ISERROR(DAVERAGE(_xlnm.Database,FILESTAT!CE$3,bfy2011_)),0,DAVERAGE(_xlnm.Database,FILESTAT!CE$3,bfy2011_)),0)</f>
        <v>1</v>
      </c>
      <c r="CF108" s="122">
        <f>ROUND(IF(ISERROR(DAVERAGE(_xlnm.Database,FILESTAT!CF$3,bfy2011_)),0,DAVERAGE(_xlnm.Database,FILESTAT!CF$3,bfy2011_)),0)</f>
        <v>0</v>
      </c>
      <c r="CG108" s="122">
        <f>ROUND(IF(ISERROR(DAVERAGE(_xlnm.Database,FILESTAT!CG$3,bfy2011_)),0,DAVERAGE(_xlnm.Database,FILESTAT!CG$3,bfy2011_)),0)</f>
        <v>8</v>
      </c>
      <c r="CH108" s="122">
        <f>ROUND(IF(ISERROR(DAVERAGE(_xlnm.Database,FILESTAT!CH$3,bfy2011_)),0,DAVERAGE(_xlnm.Database,FILESTAT!CH$3,bfy2011_)),0)</f>
        <v>0</v>
      </c>
      <c r="CI108" s="122">
        <f>ROUND(IF(ISERROR(DAVERAGE(_xlnm.Database,FILESTAT!CI$3,bfy2011_)),0,DAVERAGE(_xlnm.Database,FILESTAT!CI$3,bfy2011_)),0)</f>
        <v>6</v>
      </c>
      <c r="CJ108" s="122">
        <f>ROUND(IF(ISERROR(DAVERAGE(_xlnm.Database,FILESTAT!CJ$3,bfy2011_)),0,DAVERAGE(_xlnm.Database,FILESTAT!CJ$3,bfy2011_)),0)</f>
        <v>4</v>
      </c>
      <c r="CK108" s="122"/>
      <c r="CL108" s="122"/>
      <c r="CM108" s="122">
        <f>ROUND(IF(ISERROR(DAVERAGE(_xlnm.Database,FILESTAT!CM$3,bfy2011_)),0,DAVERAGE(_xlnm.Database,FILESTAT!CM$3,bfy2011_)),0)</f>
        <v>3</v>
      </c>
      <c r="CN108" s="122">
        <f>ROUND(IF(ISERROR(DAVERAGE(_xlnm.Database,FILESTAT!CN$3,bfy2011_)),0,DAVERAGE(_xlnm.Database,FILESTAT!CN$3,bfy2011_)),0)</f>
        <v>2</v>
      </c>
      <c r="CO108" s="122">
        <f>ROUND(IF(ISERROR(DAVERAGE(_xlnm.Database,FILESTAT!CO$3,bfy2011_)),0,DAVERAGE(_xlnm.Database,FILESTAT!CO$3,bfy2011_)),0)</f>
        <v>10</v>
      </c>
      <c r="CP108" s="122"/>
      <c r="CQ108" s="122">
        <f>ROUND(IF(ISERROR(DAVERAGE(_xlnm.Database,FILESTAT!CQ$3,bfy2011_)),0,DAVERAGE(_xlnm.Database,FILESTAT!CQ$3,bfy2011_)),0)</f>
        <v>1</v>
      </c>
      <c r="CR108" s="122"/>
      <c r="CS108" s="122">
        <f>ROUND(IF(ISERROR(DAVERAGE(_xlnm.Database,FILESTAT!CS$3,bfy2011_)),0,DAVERAGE(_xlnm.Database,FILESTAT!CS$3,bfy2011_)),0)</f>
        <v>5</v>
      </c>
      <c r="CT108" s="122">
        <f>ROUND(IF(ISERROR(DAVERAGE(_xlnm.Database,FILESTAT!CT$3,bfy2011_)),0,DAVERAGE(_xlnm.Database,FILESTAT!CT$3,bfy2011_)),0)</f>
        <v>3</v>
      </c>
      <c r="CU108" s="122">
        <f>ROUND(IF(ISERROR(DAVERAGE(_xlnm.Database,FILESTAT!CU$3,bfy2011_)),0,DAVERAGE(_xlnm.Database,FILESTAT!CU$3,bfy2011_)),0)</f>
        <v>0</v>
      </c>
      <c r="CV108" s="122">
        <f>ROUND(IF(ISERROR(DAVERAGE(_xlnm.Database,FILESTAT!CV$3,bfy2011_)),0,DAVERAGE(_xlnm.Database,FILESTAT!CV$3,bfy2011_)),0)</f>
        <v>3</v>
      </c>
      <c r="CW108" s="122">
        <f>ROUND(IF(ISERROR(DAVERAGE(_xlnm.Database,FILESTAT!CW$3,bfy2011_)),0,DAVERAGE(_xlnm.Database,FILESTAT!CW$3,bfy2011_)),0)</f>
        <v>2</v>
      </c>
      <c r="CX108" s="122"/>
      <c r="CY108" s="122">
        <f>ROUND(IF(ISERROR(DAVERAGE(_xlnm.Database,FILESTAT!CY$3,bfy2011_)),0,DAVERAGE(_xlnm.Database,FILESTAT!CY$3,bfy2011_)),0)</f>
        <v>2</v>
      </c>
      <c r="CZ108" s="122">
        <f>ROUND(IF(ISERROR(DAVERAGE(_xlnm.Database,FILESTAT!CZ$3,bfy2011_)),0,DAVERAGE(_xlnm.Database,FILESTAT!CZ$3,bfy2011_)),0)</f>
        <v>1</v>
      </c>
      <c r="DA108" s="122">
        <f>ROUND(IF(ISERROR(DAVERAGE(_xlnm.Database,FILESTAT!DA$3,bfy2011_)),0,DAVERAGE(_xlnm.Database,FILESTAT!DA$3,bfy2011_)),0)</f>
        <v>2</v>
      </c>
      <c r="DB108" s="122">
        <f>ROUND(IF(ISERROR(DAVERAGE(_xlnm.Database,FILESTAT!DB$3,bfy2011_)),0,DAVERAGE(_xlnm.Database,FILESTAT!DB$3,bfy2011_)),0)</f>
        <v>9</v>
      </c>
      <c r="DC108" s="122">
        <f>ROUND(IF(ISERROR(DAVERAGE(_xlnm.Database,FILESTAT!DC$3,bfy2011_)),0,DAVERAGE(_xlnm.Database,FILESTAT!DC$3,bfy2011_)),0)</f>
        <v>2</v>
      </c>
      <c r="DD108" s="122">
        <f>ROUND(IF(ISERROR(DAVERAGE(_xlnm.Database,FILESTAT!DD$3,bfy2011_)),0,DAVERAGE(_xlnm.Database,FILESTAT!DD$3,bfy2011_)),0)</f>
        <v>0</v>
      </c>
      <c r="DE108" s="122">
        <f>ROUND(IF(ISERROR(DAVERAGE(_xlnm.Database,FILESTAT!DE$3,bfy2011_)),0,DAVERAGE(_xlnm.Database,FILESTAT!DE$3,bfy2011_)),0)</f>
        <v>0</v>
      </c>
      <c r="DF108" s="122">
        <f>ROUND(IF(ISERROR(DAVERAGE(_xlnm.Database,FILESTAT!DF$3,bfy2011_)),0,DAVERAGE(_xlnm.Database,FILESTAT!DF$3,bfy2011_)),0)</f>
        <v>0</v>
      </c>
      <c r="DG108" s="122">
        <f>ROUND(IF(ISERROR(DAVERAGE(_xlnm.Database,FILESTAT!DG$3,bfy2011_)),0,DAVERAGE(_xlnm.Database,FILESTAT!DG$3,bfy2011_)),0)</f>
        <v>3</v>
      </c>
      <c r="DH108" s="122">
        <f>ROUND(IF(ISERROR(DAVERAGE(_xlnm.Database,FILESTAT!DH$3,bfy2011_)),0,DAVERAGE(_xlnm.Database,FILESTAT!DH$3,bfy2011_)),0)</f>
        <v>2</v>
      </c>
      <c r="DI108" s="122">
        <f>ROUND(IF(ISERROR(DAVERAGE(_xlnm.Database,FILESTAT!DI$3,bfy2011_)),0,DAVERAGE(_xlnm.Database,FILESTAT!DI$3,bfy2011_)),0)</f>
        <v>1</v>
      </c>
      <c r="DJ108" s="122">
        <f>ROUND(IF(ISERROR(DAVERAGE(_xlnm.Database,FILESTAT!DJ$3,bfy2011_)),0,DAVERAGE(_xlnm.Database,FILESTAT!DJ$3,bfy2011_)),0)</f>
        <v>3</v>
      </c>
      <c r="DK108" s="122"/>
      <c r="DL108" s="122">
        <f>ROUND(IF(ISERROR(DAVERAGE(_xlnm.Database,FILESTAT!DL$3,bfy2011_)),0,DAVERAGE(_xlnm.Database,FILESTAT!DL$3,bfy2011_)),0)</f>
        <v>0</v>
      </c>
      <c r="DM108" s="122">
        <f>ROUND(IF(ISERROR(DAVERAGE(_xlnm.Database,FILESTAT!DM$3,bfy2011_)),0,DAVERAGE(_xlnm.Database,FILESTAT!DM$3,bfy2011_)),0)</f>
        <v>4</v>
      </c>
      <c r="DN108" s="122">
        <f>ROUND(IF(ISERROR(DAVERAGE(_xlnm.Database,FILESTAT!DN$3,bfy2011_)),0,DAVERAGE(_xlnm.Database,FILESTAT!DN$3,bfy2011_)),0)</f>
        <v>3</v>
      </c>
      <c r="DO108" s="122">
        <f>ROUND(IF(ISERROR(DAVERAGE(_xlnm.Database,FILESTAT!DO$3,bfy2011_)),0,DAVERAGE(_xlnm.Database,FILESTAT!DO$3,bfy2011_)),0)</f>
        <v>2</v>
      </c>
      <c r="DP108" s="122">
        <f>ROUND(IF(ISERROR(DAVERAGE(_xlnm.Database,FILESTAT!DP$3,bfy2011_)),0,DAVERAGE(_xlnm.Database,FILESTAT!DP$3,bfy2011_)),0)</f>
        <v>2</v>
      </c>
      <c r="DQ108" s="122">
        <f>ROUND(IF(ISERROR(DAVERAGE(_xlnm.Database,FILESTAT!DQ$3,bfy2011_)),0,DAVERAGE(_xlnm.Database,FILESTAT!DQ$3,bfy2011_)),0)</f>
        <v>0</v>
      </c>
      <c r="DR108" s="122"/>
      <c r="DS108" s="122">
        <f>ROUND(IF(ISERROR(DAVERAGE(_xlnm.Database,FILESTAT!DS$3,bfy2011_)),0,DAVERAGE(_xlnm.Database,FILESTAT!DS$3,bfy2011_)),0)</f>
        <v>2</v>
      </c>
      <c r="DT108" s="122">
        <f>ROUND(IF(ISERROR(DAVERAGE(_xlnm.Database,FILESTAT!DT$3,bfy2011_)),0,DAVERAGE(_xlnm.Database,FILESTAT!DT$3,bfy2011_)),0)</f>
        <v>0</v>
      </c>
      <c r="DU108" s="122">
        <f>ROUND(IF(ISERROR(DAVERAGE(_xlnm.Database,FILESTAT!DU$3,bfy2011_)),0,DAVERAGE(_xlnm.Database,FILESTAT!DU$3,bfy2011_)),0)</f>
        <v>0</v>
      </c>
      <c r="DV108" s="127">
        <f t="shared" si="223"/>
        <v>106</v>
      </c>
      <c r="DW108" s="128"/>
    </row>
    <row r="109" spans="1:127" s="111" customFormat="1">
      <c r="A109" s="228">
        <v>2012</v>
      </c>
      <c r="B109" s="24"/>
      <c r="C109" s="121">
        <f>ROUND(IF(ISERROR(DAVERAGE(_xlnm.Database,FILESTAT!C$3,bfy2012_)),0,DAVERAGE(_xlnm.Database,FILESTAT!C$3,bfy2012_)),0)</f>
        <v>3</v>
      </c>
      <c r="D109" s="122">
        <f>ROUND(IF(ISERROR(DAVERAGE(_xlnm.Database,FILESTAT!D$3,bfy2012_)),0,DAVERAGE(_xlnm.Database,FILESTAT!D$3,bfy2012_)),0)</f>
        <v>23</v>
      </c>
      <c r="E109" s="122">
        <f>ROUND(IF(ISERROR(DAVERAGE(_xlnm.Database,FILESTAT!E$3,bfy2012_)),0,DAVERAGE(_xlnm.Database,FILESTAT!E$3,bfy2012_)),0)</f>
        <v>2</v>
      </c>
      <c r="F109" s="122">
        <f>ROUND(IF(ISERROR(DAVERAGE(_xlnm.Database,FILESTAT!F$3,bfy2012_)),0,DAVERAGE(_xlnm.Database,FILESTAT!F$3,bfy2012_)),0)</f>
        <v>1</v>
      </c>
      <c r="G109" s="122">
        <f>ROUND(IF(ISERROR(DAVERAGE(_xlnm.Database,FILESTAT!G$3,bfy2012_)),0,DAVERAGE(_xlnm.Database,FILESTAT!G$3,bfy2012_)),0)</f>
        <v>1</v>
      </c>
      <c r="H109" s="122">
        <f>ROUND(IF(ISERROR(DAVERAGE(_xlnm.Database,FILESTAT!H$3,bfy2012_)),0,DAVERAGE(_xlnm.Database,FILESTAT!H$3,bfy2012_)),0)</f>
        <v>1</v>
      </c>
      <c r="I109" s="122">
        <f>ROUND(IF(ISERROR(DAVERAGE(_xlnm.Database,FILESTAT!I$3,bfy2012_)),0,DAVERAGE(_xlnm.Database,FILESTAT!I$3,bfy2012_)),0)</f>
        <v>0</v>
      </c>
      <c r="J109" s="122">
        <f>ROUND(IF(ISERROR(DAVERAGE(_xlnm.Database,FILESTAT!J$3,bfy2012_)),0,DAVERAGE(_xlnm.Database,FILESTAT!J$3,bfy2012_)),0)</f>
        <v>22</v>
      </c>
      <c r="K109" s="122">
        <f>ROUND(IF(ISERROR(DAVERAGE(_xlnm.Database,FILESTAT!K$3,bfy2012_)),0,DAVERAGE(_xlnm.Database,FILESTAT!K$3,bfy2012_)),0)</f>
        <v>1</v>
      </c>
      <c r="L109" s="122">
        <f>ROUND(IF(ISERROR(DAVERAGE(_xlnm.Database,FILESTAT!L$3,bfy2012_)),0,DAVERAGE(_xlnm.Database,FILESTAT!L$3,bfy2012_)),0)</f>
        <v>1</v>
      </c>
      <c r="M109" s="122">
        <f>ROUND(IF(ISERROR(DAVERAGE(_xlnm.Database,FILESTAT!M$3,bfy2012_)),0,DAVERAGE(_xlnm.Database,FILESTAT!M$3,bfy2012_)),0)</f>
        <v>0</v>
      </c>
      <c r="N109" s="122">
        <f>ROUND(IF(ISERROR(DAVERAGE(_xlnm.Database,FILESTAT!N$3,bfy2012_)),0,DAVERAGE(_xlnm.Database,FILESTAT!N$3,bfy2012_)),0)</f>
        <v>0</v>
      </c>
      <c r="O109" s="122">
        <f>ROUND(IF(ISERROR(DAVERAGE(_xlnm.Database,FILESTAT!O$3,bfy2012_)),0,DAVERAGE(_xlnm.Database,FILESTAT!O$3,bfy2012_)),0)</f>
        <v>5</v>
      </c>
      <c r="P109" s="122">
        <f>ROUND(IF(ISERROR(DAVERAGE(_xlnm.Database,FILESTAT!P$3,bfy2012_)),0,DAVERAGE(_xlnm.Database,FILESTAT!P$3,bfy2012_)),0)</f>
        <v>1</v>
      </c>
      <c r="Q109" s="122">
        <f>ROUND(IF(ISERROR(DAVERAGE(_xlnm.Database,FILESTAT!Q$3,bfy2012_)),0,DAVERAGE(_xlnm.Database,FILESTAT!Q$3,bfy2012_)),0)</f>
        <v>0</v>
      </c>
      <c r="R109" s="123">
        <f>ROUND(IF(ISERROR(DAVERAGE(_xlnm.Database,FILESTAT!R$3,bfy2012_)),0,DAVERAGE(_xlnm.Database,FILESTAT!R$3,bfy2012_)),0)</f>
        <v>0</v>
      </c>
      <c r="S109" s="120">
        <f t="shared" si="221"/>
        <v>61</v>
      </c>
      <c r="T109" s="122">
        <f>ROUND(IF(ISERROR(DAVERAGE(_xlnm.Database,FILESTAT!T$3,bfy2012_)),0,DAVERAGE(_xlnm.Database,FILESTAT!T$3,bfy2012_)),0)</f>
        <v>0</v>
      </c>
      <c r="U109" s="122">
        <f>ROUND(IF(ISERROR(DAVERAGE(_xlnm.Database,FILESTAT!U$3,bfy2012_)),0,DAVERAGE(_xlnm.Database,FILESTAT!U$3,bfy2012_)),0)</f>
        <v>12</v>
      </c>
      <c r="V109" s="122"/>
      <c r="W109" s="122">
        <f>ROUND(IF(ISERROR(DAVERAGE(_xlnm.Database,FILESTAT!W$3,bfy2012_)),0,DAVERAGE(_xlnm.Database,FILESTAT!W$3,bfy2012_)),0)</f>
        <v>0</v>
      </c>
      <c r="X109" s="123">
        <f>ROUND(IF(ISERROR(DAVERAGE(_xlnm.Database,FILESTAT!X$3,bfy2012_)),0,DAVERAGE(_xlnm.Database,FILESTAT!X$3,bfy2012_)),0)</f>
        <v>0</v>
      </c>
      <c r="Z109" s="121">
        <f>ROUND(IF(ISERROR(DAVERAGE(_xlnm.Database,FILESTAT!Z$3,bfy2012_)),0,DAVERAGE(_xlnm.Database,FILESTAT!Z$3,bfy2012_)),0)</f>
        <v>390626</v>
      </c>
      <c r="AA109" s="122">
        <f>ROUND(IF(ISERROR(DAVERAGE(_xlnm.Database,FILESTAT!AA$3,bfy2012_)),0,DAVERAGE(_xlnm.Database,FILESTAT!AA$3,bfy2012_)),0)</f>
        <v>0</v>
      </c>
      <c r="AB109" s="122"/>
      <c r="AC109" s="121">
        <f>ROUND(IF(ISERROR(DAVERAGE(_xlnm.Database,FILESTAT!AC$3,bfy2012_)),0,DAVERAGE(_xlnm.Database,FILESTAT!AC$3,bfy2012_)),0)</f>
        <v>1784120</v>
      </c>
      <c r="AD109" s="122">
        <f>ROUND(IF(ISERROR(DAVERAGE(_xlnm.Database,FILESTAT!AD$3,bfy2012_)),0,DAVERAGE(_xlnm.Database,FILESTAT!AD$3,bfy2012_)),0)</f>
        <v>0</v>
      </c>
      <c r="AE109" s="120">
        <f t="shared" si="222"/>
        <v>1784120</v>
      </c>
      <c r="AG109" s="121">
        <f>ROUND(IF(ISERROR(DAVERAGE(_xlnm.Database,FILESTAT!AG$3,bfy2012_)),0,DAVERAGE(_xlnm.Database,FILESTAT!AG$3,bfy2012_)),0)</f>
        <v>98</v>
      </c>
      <c r="AH109" s="122">
        <f>ROUND(IF(ISERROR(DAVERAGE(_xlnm.Database,FILESTAT!AH$3,bfy2012_)),0,DAVERAGE(_xlnm.Database,FILESTAT!AH$3,bfy2012_)),0)</f>
        <v>53</v>
      </c>
      <c r="AI109" s="122">
        <f>ROUND(IF(ISERROR(DAVERAGE(_xlnm.Database,FILESTAT!AI$3,bfy2012_)),0,DAVERAGE(_xlnm.Database,FILESTAT!AI$3,bfy2012_)),0)</f>
        <v>168</v>
      </c>
      <c r="AJ109" s="123">
        <f>ROUND(IF(ISERROR(DAVERAGE(_xlnm.Database,FILESTAT!AJ$3,bfy2012_)),0,DAVERAGE(_xlnm.Database,FILESTAT!AJ$3,bfy2012_)),0)</f>
        <v>0</v>
      </c>
      <c r="AL109" s="121">
        <f>ROUND(IF(ISERROR(DAVERAGE(_xlnm.Database,FILESTAT!AL$3,bfy2012_)),0,DAVERAGE(_xlnm.Database,FILESTAT!AL$3,bfy2012_)),0)</f>
        <v>0</v>
      </c>
      <c r="AM109" s="122">
        <f>ROUND(IF(ISERROR(DAVERAGE(_xlnm.Database,FILESTAT!AM$3,bfy2012_)),0,DAVERAGE(_xlnm.Database,FILESTAT!AM$3,bfy2012_)),0)</f>
        <v>36</v>
      </c>
      <c r="AN109" s="120">
        <f>ROUND(SUM(AL109:AM109),0)</f>
        <v>36</v>
      </c>
      <c r="AO109" s="122">
        <f>ROUND(IF(ISERROR(DAVERAGE(_xlnm.Database,FILESTAT!AO$3,bfy2012_)),0,DAVERAGE(_xlnm.Database,FILESTAT!AO$3,bfy2012_)),0)</f>
        <v>0</v>
      </c>
      <c r="AP109" s="122">
        <f>ROUND(IF(ISERROR(DAVERAGE(_xlnm.Database,FILESTAT!AP$3,bfy2012_)),0,DAVERAGE(_xlnm.Database,FILESTAT!AP$3,bfy2012_)),0)</f>
        <v>0</v>
      </c>
      <c r="AQ109" s="120">
        <f>ROUND(SUM(AO109:AP109),0)</f>
        <v>0</v>
      </c>
      <c r="AR109" s="122">
        <f>ROUND(IF(ISERROR(DAVERAGE(_xlnm.Database,FILESTAT!AR$3,bfy2012_)),0,DAVERAGE(_xlnm.Database,FILESTAT!AR$3,bfy2012_)),0)</f>
        <v>154</v>
      </c>
      <c r="AS109" s="122">
        <f>ROUND(IF(ISERROR(DAVERAGE(_xlnm.Database,FILESTAT!AS$3,bfy2012_)),0,DAVERAGE(_xlnm.Database,FILESTAT!AS$3,bfy2012_)),0)</f>
        <v>107</v>
      </c>
      <c r="AT109" s="122">
        <f>ROUND(IF(ISERROR(DAVERAGE(_xlnm.Database,FILESTAT!AT$3,bfy2012_)),0,DAVERAGE(_xlnm.Database,FILESTAT!AT$3,bfy2012_)),0)</f>
        <v>182</v>
      </c>
      <c r="AU109" s="122">
        <f>ROUND(IF(ISERROR(DAVERAGE(_xlnm.Database,FILESTAT!AU$3,bfy2012_)),0,DAVERAGE(_xlnm.Database,FILESTAT!AU$3,bfy2012_)),0)</f>
        <v>21</v>
      </c>
      <c r="AV109" s="123">
        <f>ROUND(IF(ISERROR(DAVERAGE(_xlnm.Database,FILESTAT!AV$3,bfy2012_)),0,DAVERAGE(_xlnm.Database,FILESTAT!AV$3,bfy2012_)),0)</f>
        <v>358</v>
      </c>
      <c r="AW109"/>
      <c r="AX109" s="356"/>
      <c r="AY109"/>
      <c r="BA109" s="121">
        <f>ROUND(IF(ISERROR(DAVERAGE(_xlnm.Database,FILESTAT!BA$3,bfy2012_)),0,DAVERAGE(_xlnm.Database,FILESTAT!BA$3,bfy2012_)),0)</f>
        <v>1979</v>
      </c>
      <c r="BB109" s="122">
        <f>ROUND(IF(ISERROR(DAVERAGE(_xlnm.Database,FILESTAT!BB$3,bfy2012_)),0,DAVERAGE(_xlnm.Database,FILESTAT!BB$3,bfy2012_)),0)</f>
        <v>70918196</v>
      </c>
      <c r="BC109" s="122">
        <f>ROUND(IF(ISERROR(DAVERAGE(_xlnm.Database,FILESTAT!BC$3,bfy2012_)),0,DAVERAGE(_xlnm.Database,FILESTAT!BC$3,bfy2012_)),0)</f>
        <v>0</v>
      </c>
      <c r="BD109" s="122"/>
      <c r="BE109" s="122">
        <f>ROUND(IF(ISERROR(DAVERAGE(_xlnm.Database,FILESTAT!BE$3,bfy2012_)),0,DAVERAGE(_xlnm.Database,FILESTAT!BE$3,bfy2012_)),0)</f>
        <v>91</v>
      </c>
      <c r="BF109" s="122">
        <f>ROUND(IF(ISERROR(DAVERAGE(_xlnm.Database,FILESTAT!BF$3,bfy2012_)),0,DAVERAGE(_xlnm.Database,FILESTAT!BF$3,bfy2012_)),0)</f>
        <v>6</v>
      </c>
      <c r="BG109" s="122">
        <f>ROUND(IF(ISERROR(DAVERAGE(_xlnm.Database,FILESTAT!BG$3,bfy2012_)),0,DAVERAGE(_xlnm.Database,FILESTAT!BG$3,bfy2012_)),0)</f>
        <v>5</v>
      </c>
      <c r="BH109" s="122"/>
      <c r="BI109" s="122">
        <f>ROUND(IF(ISERROR(DAVERAGE(_xlnm.Database,FILESTAT!BI$3,bfy2012_)),0,DAVERAGE(_xlnm.Database,FILESTAT!BI$3,bfy2012_)),0)</f>
        <v>4666286</v>
      </c>
      <c r="BJ109" s="122"/>
      <c r="BK109" s="122"/>
      <c r="BL109" s="122"/>
      <c r="BM109" s="123">
        <f>ROUND(IF(ISERROR(DAVERAGE(_xlnm.Database,FILESTAT!BM$3,bfy2012_)),0,DAVERAGE(_xlnm.Database,FILESTAT!BM$3,bfy2012_)),0)</f>
        <v>0</v>
      </c>
      <c r="BO109" s="121">
        <f>ROUND(IF(ISERROR(DAVERAGE(_xlnm.Database,FILESTAT!BO$3,bfy2012_)),0,DAVERAGE(_xlnm.Database,FILESTAT!BO$3,bfy2012_)),0)</f>
        <v>0</v>
      </c>
      <c r="BP109" s="123">
        <f>ROUND(IF(ISERROR(DAVERAGE(_xlnm.Database,FILESTAT!BP$3,bfy2012_)),0,DAVERAGE(_xlnm.Database,FILESTAT!BP$3,bfy2012_)),0)</f>
        <v>167</v>
      </c>
      <c r="BR109" s="252"/>
      <c r="BS109" s="179"/>
      <c r="BT109" s="251"/>
      <c r="BV109" s="121">
        <f>ROUND(IF(ISERROR(DAVERAGE(_xlnm.Database,FILESTAT!BV$3,bfy2012_)),0,DAVERAGE(_xlnm.Database,FILESTAT!BV$3,bfy2012_)),0)</f>
        <v>3</v>
      </c>
      <c r="BW109" s="122">
        <f>ROUND(IF(ISERROR(DAVERAGE(_xlnm.Database,FILESTAT!BW$3,bfy2012_)),0,DAVERAGE(_xlnm.Database,FILESTAT!BW$3,bfy2012_)),0)</f>
        <v>3</v>
      </c>
      <c r="BX109" s="122">
        <f>ROUND(IF(ISERROR(DAVERAGE(_xlnm.Database,FILESTAT!BX$3,bfy2012_)),0,DAVERAGE(_xlnm.Database,FILESTAT!BX$3,bfy2012_)),0)</f>
        <v>7</v>
      </c>
      <c r="BY109" s="122">
        <f>ROUND(IF(ISERROR(DAVERAGE(_xlnm.Database,FILESTAT!BY$3,bfy2012_)),0,DAVERAGE(_xlnm.Database,FILESTAT!BY$3,bfy2012_)),0)</f>
        <v>1</v>
      </c>
      <c r="BZ109" s="122">
        <f>ROUND(IF(ISERROR(DAVERAGE(_xlnm.Database,FILESTAT!BZ$3,bfy2012_)),0,DAVERAGE(_xlnm.Database,FILESTAT!BZ$3,bfy2012_)),0)</f>
        <v>0</v>
      </c>
      <c r="CA109" s="122">
        <f>ROUND(IF(ISERROR(DAVERAGE(_xlnm.Database,FILESTAT!CA$3,bfy2012_)),0,DAVERAGE(_xlnm.Database,FILESTAT!CA$3,bfy2012_)),0)</f>
        <v>2</v>
      </c>
      <c r="CB109" s="122">
        <f>ROUND(IF(ISERROR(DAVERAGE(_xlnm.Database,FILESTAT!CB$3,bfy2012_)),0,DAVERAGE(_xlnm.Database,FILESTAT!CB$3,bfy2012_)),0)</f>
        <v>0</v>
      </c>
      <c r="CC109" s="122"/>
      <c r="CD109" s="122">
        <f>ROUND(IF(ISERROR(DAVERAGE(_xlnm.Database,FILESTAT!CD$3,bfy2012_)),0,DAVERAGE(_xlnm.Database,FILESTAT!CD$3,bfy2012_)),0)</f>
        <v>5</v>
      </c>
      <c r="CE109" s="122">
        <f>ROUND(IF(ISERROR(DAVERAGE(_xlnm.Database,FILESTAT!CE$3,bfy2012_)),0,DAVERAGE(_xlnm.Database,FILESTAT!CE$3,bfy2012_)),0)</f>
        <v>5</v>
      </c>
      <c r="CF109" s="122">
        <f>ROUND(IF(ISERROR(DAVERAGE(_xlnm.Database,FILESTAT!CF$3,bfy2012_)),0,DAVERAGE(_xlnm.Database,FILESTAT!CF$3,bfy2012_)),0)</f>
        <v>0</v>
      </c>
      <c r="CG109" s="122">
        <f>ROUND(IF(ISERROR(DAVERAGE(_xlnm.Database,FILESTAT!CG$3,bfy2012_)),0,DAVERAGE(_xlnm.Database,FILESTAT!CG$3,bfy2012_)),0)</f>
        <v>5</v>
      </c>
      <c r="CH109" s="122">
        <f>ROUND(IF(ISERROR(DAVERAGE(_xlnm.Database,FILESTAT!CH$3,bfy2012_)),0,DAVERAGE(_xlnm.Database,FILESTAT!CH$3,bfy2012_)),0)</f>
        <v>2</v>
      </c>
      <c r="CI109" s="122">
        <f>ROUND(IF(ISERROR(DAVERAGE(_xlnm.Database,FILESTAT!CI$3,bfy2012_)),0,DAVERAGE(_xlnm.Database,FILESTAT!CI$3,bfy2012_)),0)</f>
        <v>8</v>
      </c>
      <c r="CJ109" s="122">
        <f>ROUND(IF(ISERROR(DAVERAGE(_xlnm.Database,FILESTAT!CJ$3,bfy2012_)),0,DAVERAGE(_xlnm.Database,FILESTAT!CJ$3,bfy2012_)),0)</f>
        <v>6</v>
      </c>
      <c r="CK109" s="122"/>
      <c r="CL109" s="122"/>
      <c r="CM109" s="122">
        <f>ROUND(IF(ISERROR(DAVERAGE(_xlnm.Database,FILESTAT!CM$3,bfy2012_)),0,DAVERAGE(_xlnm.Database,FILESTAT!CM$3,bfy2012_)),0)</f>
        <v>1</v>
      </c>
      <c r="CN109" s="122">
        <f>ROUND(IF(ISERROR(DAVERAGE(_xlnm.Database,FILESTAT!CN$3,bfy2012_)),0,DAVERAGE(_xlnm.Database,FILESTAT!CN$3,bfy2012_)),0)</f>
        <v>2</v>
      </c>
      <c r="CO109" s="122">
        <f>ROUND(IF(ISERROR(DAVERAGE(_xlnm.Database,FILESTAT!CO$3,bfy2012_)),0,DAVERAGE(_xlnm.Database,FILESTAT!CO$3,bfy2012_)),0)</f>
        <v>8</v>
      </c>
      <c r="CP109" s="122"/>
      <c r="CQ109" s="122">
        <f>ROUND(IF(ISERROR(DAVERAGE(_xlnm.Database,FILESTAT!CQ$3,bfy2012_)),0,DAVERAGE(_xlnm.Database,FILESTAT!CQ$3,bfy2012_)),0)</f>
        <v>1</v>
      </c>
      <c r="CR109" s="122"/>
      <c r="CS109" s="122">
        <f>ROUND(IF(ISERROR(DAVERAGE(_xlnm.Database,FILESTAT!CS$3,bfy2012_)),0,DAVERAGE(_xlnm.Database,FILESTAT!CS$3,bfy2012_)),0)</f>
        <v>4</v>
      </c>
      <c r="CT109" s="122">
        <f>ROUND(IF(ISERROR(DAVERAGE(_xlnm.Database,FILESTAT!CT$3,bfy2012_)),0,DAVERAGE(_xlnm.Database,FILESTAT!CT$3,bfy2012_)),0)</f>
        <v>3</v>
      </c>
      <c r="CU109" s="122">
        <f>ROUND(IF(ISERROR(DAVERAGE(_xlnm.Database,FILESTAT!CU$3,bfy2012_)),0,DAVERAGE(_xlnm.Database,FILESTAT!CU$3,bfy2012_)),0)</f>
        <v>0</v>
      </c>
      <c r="CV109" s="122">
        <f>ROUND(IF(ISERROR(DAVERAGE(_xlnm.Database,FILESTAT!CV$3,bfy2012_)),0,DAVERAGE(_xlnm.Database,FILESTAT!CV$3,bfy2012_)),0)</f>
        <v>3</v>
      </c>
      <c r="CW109" s="122">
        <f>ROUND(IF(ISERROR(DAVERAGE(_xlnm.Database,FILESTAT!CW$3,bfy2012_)),0,DAVERAGE(_xlnm.Database,FILESTAT!CW$3,bfy2012_)),0)</f>
        <v>0</v>
      </c>
      <c r="CX109" s="122"/>
      <c r="CY109" s="122">
        <f>ROUND(IF(ISERROR(DAVERAGE(_xlnm.Database,FILESTAT!CY$3,bfy2012_)),0,DAVERAGE(_xlnm.Database,FILESTAT!CY$3,bfy2012_)),0)</f>
        <v>3</v>
      </c>
      <c r="CZ109" s="122">
        <f>ROUND(IF(ISERROR(DAVERAGE(_xlnm.Database,FILESTAT!CZ$3,bfy2012_)),0,DAVERAGE(_xlnm.Database,FILESTAT!CZ$3,bfy2012_)),0)</f>
        <v>0</v>
      </c>
      <c r="DA109" s="122">
        <f>ROUND(IF(ISERROR(DAVERAGE(_xlnm.Database,FILESTAT!DA$3,bfy2012_)),0,DAVERAGE(_xlnm.Database,FILESTAT!DA$3,bfy2012_)),0)</f>
        <v>1</v>
      </c>
      <c r="DB109" s="122">
        <f>ROUND(IF(ISERROR(DAVERAGE(_xlnm.Database,FILESTAT!DB$3,bfy2012_)),0,DAVERAGE(_xlnm.Database,FILESTAT!DB$3,bfy2012_)),0)</f>
        <v>7</v>
      </c>
      <c r="DC109" s="122">
        <f>ROUND(IF(ISERROR(DAVERAGE(_xlnm.Database,FILESTAT!DC$3,bfy2012_)),0,DAVERAGE(_xlnm.Database,FILESTAT!DC$3,bfy2012_)),0)</f>
        <v>11</v>
      </c>
      <c r="DD109" s="122">
        <f>ROUND(IF(ISERROR(DAVERAGE(_xlnm.Database,FILESTAT!DD$3,bfy2012_)),0,DAVERAGE(_xlnm.Database,FILESTAT!DD$3,bfy2012_)),0)</f>
        <v>0</v>
      </c>
      <c r="DE109" s="122">
        <f>ROUND(IF(ISERROR(DAVERAGE(_xlnm.Database,FILESTAT!DE$3,bfy2012_)),0,DAVERAGE(_xlnm.Database,FILESTAT!DE$3,bfy2012_)),0)</f>
        <v>1</v>
      </c>
      <c r="DF109" s="122">
        <f>ROUND(IF(ISERROR(DAVERAGE(_xlnm.Database,FILESTAT!DF$3,bfy2012_)),0,DAVERAGE(_xlnm.Database,FILESTAT!DF$3,bfy2012_)),0)</f>
        <v>2</v>
      </c>
      <c r="DG109" s="122">
        <f>ROUND(IF(ISERROR(DAVERAGE(_xlnm.Database,FILESTAT!DG$3,bfy2012_)),0,DAVERAGE(_xlnm.Database,FILESTAT!DG$3,bfy2012_)),0)</f>
        <v>4</v>
      </c>
      <c r="DH109" s="122">
        <f>ROUND(IF(ISERROR(DAVERAGE(_xlnm.Database,FILESTAT!DH$3,bfy2012_)),0,DAVERAGE(_xlnm.Database,FILESTAT!DH$3,bfy2012_)),0)</f>
        <v>3</v>
      </c>
      <c r="DI109" s="122">
        <f>ROUND(IF(ISERROR(DAVERAGE(_xlnm.Database,FILESTAT!DI$3,bfy2012_)),0,DAVERAGE(_xlnm.Database,FILESTAT!DI$3,bfy2012_)),0)</f>
        <v>3</v>
      </c>
      <c r="DJ109" s="122">
        <f>ROUND(IF(ISERROR(DAVERAGE(_xlnm.Database,FILESTAT!DJ$3,bfy2012_)),0,DAVERAGE(_xlnm.Database,FILESTAT!DJ$3,bfy2012_)),0)</f>
        <v>2</v>
      </c>
      <c r="DK109" s="122"/>
      <c r="DL109" s="122">
        <f>ROUND(IF(ISERROR(DAVERAGE(_xlnm.Database,FILESTAT!DL$3,bfy2012_)),0,DAVERAGE(_xlnm.Database,FILESTAT!DL$3,bfy2012_)),0)</f>
        <v>0</v>
      </c>
      <c r="DM109" s="122">
        <f>ROUND(IF(ISERROR(DAVERAGE(_xlnm.Database,FILESTAT!DM$3,bfy2012_)),0,DAVERAGE(_xlnm.Database,FILESTAT!DM$3,bfy2012_)),0)</f>
        <v>7</v>
      </c>
      <c r="DN109" s="122">
        <f>ROUND(IF(ISERROR(DAVERAGE(_xlnm.Database,FILESTAT!DN$3,bfy2012_)),0,DAVERAGE(_xlnm.Database,FILESTAT!DN$3,bfy2012_)),0)</f>
        <v>1</v>
      </c>
      <c r="DO109" s="122">
        <f>ROUND(IF(ISERROR(DAVERAGE(_xlnm.Database,FILESTAT!DO$3,bfy2012_)),0,DAVERAGE(_xlnm.Database,FILESTAT!DO$3,bfy2012_)),0)</f>
        <v>5</v>
      </c>
      <c r="DP109" s="122">
        <f>ROUND(IF(ISERROR(DAVERAGE(_xlnm.Database,FILESTAT!DP$3,bfy2012_)),0,DAVERAGE(_xlnm.Database,FILESTAT!DP$3,bfy2012_)),0)</f>
        <v>0</v>
      </c>
      <c r="DQ109" s="122">
        <f>ROUND(IF(ISERROR(DAVERAGE(_xlnm.Database,FILESTAT!DQ$3,bfy2012_)),0,DAVERAGE(_xlnm.Database,FILESTAT!DQ$3,bfy2012_)),0)</f>
        <v>0</v>
      </c>
      <c r="DR109" s="122"/>
      <c r="DS109" s="122">
        <f>ROUND(IF(ISERROR(DAVERAGE(_xlnm.Database,FILESTAT!DS$3,bfy2012_)),0,DAVERAGE(_xlnm.Database,FILESTAT!DS$3,bfy2012_)),0)</f>
        <v>3</v>
      </c>
      <c r="DT109" s="122">
        <f>ROUND(IF(ISERROR(DAVERAGE(_xlnm.Database,FILESTAT!DT$3,bfy2012_)),0,DAVERAGE(_xlnm.Database,FILESTAT!DT$3,bfy2012_)),0)</f>
        <v>0</v>
      </c>
      <c r="DU109" s="122">
        <f>ROUND(IF(ISERROR(DAVERAGE(_xlnm.Database,FILESTAT!DU$3,bfy2012_)),0,DAVERAGE(_xlnm.Database,FILESTAT!DU$3,bfy2012_)),0)</f>
        <v>0</v>
      </c>
      <c r="DV109" s="127">
        <f t="shared" si="223"/>
        <v>122</v>
      </c>
      <c r="DW109" s="128"/>
    </row>
    <row r="110" spans="1:127" s="111" customFormat="1">
      <c r="A110" s="228">
        <v>2013</v>
      </c>
      <c r="B110" s="24"/>
      <c r="C110" s="121">
        <f>ROUND(IF(ISERROR(DAVERAGE(_xlnm.Database,FILESTAT!C$3,bfy2013_)),0,DAVERAGE(_xlnm.Database,FILESTAT!C$3,bfy2013_)),0)</f>
        <v>3</v>
      </c>
      <c r="D110" s="122">
        <f>ROUND(IF(ISERROR(DAVERAGE(_xlnm.Database,FILESTAT!D$3,bfy2013_)),0,DAVERAGE(_xlnm.Database,FILESTAT!D$3,bfy2013_)),0)</f>
        <v>18</v>
      </c>
      <c r="E110" s="122">
        <f>ROUND(IF(ISERROR(DAVERAGE(_xlnm.Database,FILESTAT!E$3,bfy2013_)),0,DAVERAGE(_xlnm.Database,FILESTAT!E$3,bfy2013_)),0)</f>
        <v>2</v>
      </c>
      <c r="F110" s="122">
        <f>ROUND(IF(ISERROR(DAVERAGE(_xlnm.Database,FILESTAT!F$3,bfy2013_)),0,DAVERAGE(_xlnm.Database,FILESTAT!F$3,bfy2013_)),0)</f>
        <v>1</v>
      </c>
      <c r="G110" s="122">
        <f>ROUND(IF(ISERROR(DAVERAGE(_xlnm.Database,FILESTAT!G$3,bfy2013_)),0,DAVERAGE(_xlnm.Database,FILESTAT!G$3,bfy2013_)),0)</f>
        <v>2</v>
      </c>
      <c r="H110" s="122">
        <f>ROUND(IF(ISERROR(DAVERAGE(_xlnm.Database,FILESTAT!H$3,bfy2013_)),0,DAVERAGE(_xlnm.Database,FILESTAT!H$3,bfy2013_)),0)</f>
        <v>1</v>
      </c>
      <c r="I110" s="122">
        <f>ROUND(IF(ISERROR(DAVERAGE(_xlnm.Database,FILESTAT!I$3,bfy2013_)),0,DAVERAGE(_xlnm.Database,FILESTAT!I$3,bfy2013_)),0)</f>
        <v>0</v>
      </c>
      <c r="J110" s="122">
        <f>ROUND(IF(ISERROR(DAVERAGE(_xlnm.Database,FILESTAT!J$3,bfy2013_)),0,DAVERAGE(_xlnm.Database,FILESTAT!J$3,bfy2013_)),0)</f>
        <v>23</v>
      </c>
      <c r="K110" s="122">
        <f>ROUND(IF(ISERROR(DAVERAGE(_xlnm.Database,FILESTAT!K$3,bfy2013_)),0,DAVERAGE(_xlnm.Database,FILESTAT!K$3,bfy2013_)),0)</f>
        <v>2</v>
      </c>
      <c r="L110" s="122">
        <f>ROUND(IF(ISERROR(DAVERAGE(_xlnm.Database,FILESTAT!L$3,bfy2013_)),0,DAVERAGE(_xlnm.Database,FILESTAT!L$3,bfy2013_)),0)</f>
        <v>0</v>
      </c>
      <c r="M110" s="122">
        <f>ROUND(IF(ISERROR(DAVERAGE(_xlnm.Database,FILESTAT!M$3,bfy2013_)),0,DAVERAGE(_xlnm.Database,FILESTAT!M$3,bfy2013_)),0)</f>
        <v>0</v>
      </c>
      <c r="N110" s="122">
        <f>ROUND(IF(ISERROR(DAVERAGE(_xlnm.Database,FILESTAT!N$3,bfy2013_)),0,DAVERAGE(_xlnm.Database,FILESTAT!N$3,bfy2013_)),0)</f>
        <v>0</v>
      </c>
      <c r="O110" s="122">
        <f>ROUND(IF(ISERROR(DAVERAGE(_xlnm.Database,FILESTAT!O$3,bfy2013_)),0,DAVERAGE(_xlnm.Database,FILESTAT!O$3,bfy2013_)),0)</f>
        <v>6</v>
      </c>
      <c r="P110" s="122">
        <f>ROUND(IF(ISERROR(DAVERAGE(_xlnm.Database,FILESTAT!P$3,bfy2013_)),0,DAVERAGE(_xlnm.Database,FILESTAT!P$3,bfy2013_)),0)</f>
        <v>1</v>
      </c>
      <c r="Q110" s="122">
        <f>ROUND(IF(ISERROR(DAVERAGE(_xlnm.Database,FILESTAT!Q$3,bfy2013_)),0,DAVERAGE(_xlnm.Database,FILESTAT!Q$3,bfy2013_)),0)</f>
        <v>0</v>
      </c>
      <c r="R110" s="123">
        <f>ROUND(IF(ISERROR(DAVERAGE(_xlnm.Database,FILESTAT!R$3,bfy2013_)),0,DAVERAGE(_xlnm.Database,FILESTAT!R$3,bfy2013_)),0)</f>
        <v>0</v>
      </c>
      <c r="S110" s="120">
        <f t="shared" si="221"/>
        <v>59</v>
      </c>
      <c r="T110" s="122">
        <f>ROUND(IF(ISERROR(DAVERAGE(_xlnm.Database,FILESTAT!T$3,bfy2013_)),0,DAVERAGE(_xlnm.Database,FILESTAT!T$3,bfy2013_)),0)</f>
        <v>0</v>
      </c>
      <c r="U110" s="122">
        <f>ROUND(IF(ISERROR(DAVERAGE(_xlnm.Database,FILESTAT!U$3,bfy2013_)),0,DAVERAGE(_xlnm.Database,FILESTAT!U$3,bfy2013_)),0)</f>
        <v>9</v>
      </c>
      <c r="V110" s="122"/>
      <c r="W110" s="122">
        <f>ROUND(IF(ISERROR(DAVERAGE(_xlnm.Database,FILESTAT!W$3,bfy2013_)),0,DAVERAGE(_xlnm.Database,FILESTAT!W$3,bfy2013_)),0)</f>
        <v>0</v>
      </c>
      <c r="X110" s="123">
        <f>ROUND(IF(ISERROR(DAVERAGE(_xlnm.Database,FILESTAT!X$3,bfy2013_)),0,DAVERAGE(_xlnm.Database,FILESTAT!X$3,bfy2013_)),0)</f>
        <v>0</v>
      </c>
      <c r="Z110" s="121">
        <f>ROUND(IF(ISERROR(DAVERAGE(_xlnm.Database,FILESTAT!Z$3,bfy2013_)),0,DAVERAGE(_xlnm.Database,FILESTAT!Z$3,bfy2013_)),0)</f>
        <v>399381</v>
      </c>
      <c r="AA110" s="122">
        <f>ROUND(IF(ISERROR(DAVERAGE(_xlnm.Database,FILESTAT!AA$3,bfy2013_)),0,DAVERAGE(_xlnm.Database,FILESTAT!AA$3,bfy2013_)),0)</f>
        <v>0</v>
      </c>
      <c r="AB110" s="122"/>
      <c r="AC110" s="121">
        <f>ROUND(IF(ISERROR(DAVERAGE(_xlnm.Database,FILESTAT!AC$3,bfy2013_)),0,DAVERAGE(_xlnm.Database,FILESTAT!AC$3,bfy2013_)),0)</f>
        <v>2409026</v>
      </c>
      <c r="AD110" s="122">
        <f>ROUND(IF(ISERROR(DAVERAGE(_xlnm.Database,FILESTAT!AD$3,bfy2013_)),0,DAVERAGE(_xlnm.Database,FILESTAT!AD$3,bfy2013_)),0)</f>
        <v>0</v>
      </c>
      <c r="AE110" s="120">
        <f t="shared" si="222"/>
        <v>2409026</v>
      </c>
      <c r="AG110" s="121">
        <f>ROUND(IF(ISERROR(DAVERAGE(_xlnm.Database,FILESTAT!AG$3,bfy2013_)),0,DAVERAGE(_xlnm.Database,FILESTAT!AG$3,bfy2013_)),0)</f>
        <v>101</v>
      </c>
      <c r="AH110" s="122">
        <f>ROUND(IF(ISERROR(DAVERAGE(_xlnm.Database,FILESTAT!AH$3,bfy2013_)),0,DAVERAGE(_xlnm.Database,FILESTAT!AH$3,bfy2013_)),0)</f>
        <v>53</v>
      </c>
      <c r="AI110" s="122">
        <f>ROUND(IF(ISERROR(DAVERAGE(_xlnm.Database,FILESTAT!AI$3,bfy2013_)),0,DAVERAGE(_xlnm.Database,FILESTAT!AI$3,bfy2013_)),0)</f>
        <v>169</v>
      </c>
      <c r="AJ110" s="123">
        <f>ROUND(IF(ISERROR(DAVERAGE(_xlnm.Database,FILESTAT!AJ$3,bfy2013_)),0,DAVERAGE(_xlnm.Database,FILESTAT!AJ$3,bfy2013_)),0)</f>
        <v>0</v>
      </c>
      <c r="AL110" s="121">
        <f>ROUND(IF(ISERROR(DAVERAGE(_xlnm.Database,FILESTAT!AL$3,bfy2013_)),0,DAVERAGE(_xlnm.Database,FILESTAT!AL$3,bfy2013_)),0)</f>
        <v>0</v>
      </c>
      <c r="AM110" s="122">
        <f>ROUND(IF(ISERROR(DAVERAGE(_xlnm.Database,FILESTAT!AM$3,bfy2013_)),0,DAVERAGE(_xlnm.Database,FILESTAT!AM$3,bfy2013_)),0)</f>
        <v>33</v>
      </c>
      <c r="AN110" s="120">
        <f>ROUND(SUM(AL110:AM110),0)</f>
        <v>33</v>
      </c>
      <c r="AO110" s="122">
        <f>ROUND(IF(ISERROR(DAVERAGE(_xlnm.Database,FILESTAT!AO$3,bfy2013_)),0,DAVERAGE(_xlnm.Database,FILESTAT!AO$3,bfy2013_)),0)</f>
        <v>0</v>
      </c>
      <c r="AP110" s="122">
        <f>ROUND(IF(ISERROR(DAVERAGE(_xlnm.Database,FILESTAT!AP$3,bfy2013_)),0,DAVERAGE(_xlnm.Database,FILESTAT!AP$3,bfy2013_)),0)</f>
        <v>0</v>
      </c>
      <c r="AQ110" s="120">
        <f>ROUND(SUM(AO110:AP110),0)</f>
        <v>0</v>
      </c>
      <c r="AR110" s="122">
        <f>ROUND(IF(ISERROR(DAVERAGE(_xlnm.Database,FILESTAT!AR$3,bfy2013_)),0,DAVERAGE(_xlnm.Database,FILESTAT!AR$3,bfy2013_)),0)</f>
        <v>157</v>
      </c>
      <c r="AS110" s="122">
        <f>ROUND(IF(ISERROR(DAVERAGE(_xlnm.Database,FILESTAT!AS$3,bfy2013_)),0,DAVERAGE(_xlnm.Database,FILESTAT!AS$3,bfy2013_)),0)</f>
        <v>123</v>
      </c>
      <c r="AT110" s="122">
        <f>ROUND(IF(ISERROR(DAVERAGE(_xlnm.Database,FILESTAT!AT$3,bfy2013_)),0,DAVERAGE(_xlnm.Database,FILESTAT!AT$3,bfy2013_)),0)</f>
        <v>194</v>
      </c>
      <c r="AU110" s="122">
        <f>ROUND(IF(ISERROR(DAVERAGE(_xlnm.Database,FILESTAT!AU$3,bfy2013_)),0,DAVERAGE(_xlnm.Database,FILESTAT!AU$3,bfy2013_)),0)</f>
        <v>23</v>
      </c>
      <c r="AV110" s="123">
        <f>ROUND(IF(ISERROR(DAVERAGE(_xlnm.Database,FILESTAT!AV$3,bfy2013_)),0,DAVERAGE(_xlnm.Database,FILESTAT!AV$3,bfy2013_)),0)</f>
        <v>390</v>
      </c>
      <c r="AW110" s="366"/>
      <c r="AX110" s="366"/>
      <c r="AY110" s="366"/>
      <c r="BA110" s="121">
        <f>ROUND(IF(ISERROR(DAVERAGE(_xlnm.Database,FILESTAT!BA$3,bfy2013_)),0,DAVERAGE(_xlnm.Database,FILESTAT!BA$3,bfy2013_)),0)</f>
        <v>1999</v>
      </c>
      <c r="BB110" s="122">
        <f>ROUND(IF(ISERROR(DAVERAGE(_xlnm.Database,FILESTAT!BB$3,bfy2013_)),0,DAVERAGE(_xlnm.Database,FILESTAT!BB$3,bfy2013_)),0)</f>
        <v>73456833</v>
      </c>
      <c r="BC110" s="122">
        <f>ROUND(IF(ISERROR(DAVERAGE(_xlnm.Database,FILESTAT!BC$3,bfy2013_)),0,DAVERAGE(_xlnm.Database,FILESTAT!BC$3,bfy2013_)),0)</f>
        <v>0</v>
      </c>
      <c r="BD110" s="122"/>
      <c r="BE110" s="122">
        <f>ROUND(IF(ISERROR(DAVERAGE(_xlnm.Database,FILESTAT!BE$3,bfy2013_)),0,DAVERAGE(_xlnm.Database,FILESTAT!BE$3,bfy2013_)),0)</f>
        <v>94</v>
      </c>
      <c r="BF110" s="122">
        <f>ROUND(IF(ISERROR(DAVERAGE(_xlnm.Database,FILESTAT!BF$3,bfy2013_)),0,DAVERAGE(_xlnm.Database,FILESTAT!BF$3,bfy2013_)),0)</f>
        <v>7</v>
      </c>
      <c r="BG110" s="122">
        <f>ROUND(IF(ISERROR(DAVERAGE(_xlnm.Database,FILESTAT!BG$3,bfy2013_)),0,DAVERAGE(_xlnm.Database,FILESTAT!BG$3,bfy2013_)),0)</f>
        <v>5</v>
      </c>
      <c r="BH110" s="122"/>
      <c r="BI110" s="122">
        <f>ROUND(IF(ISERROR(DAVERAGE(_xlnm.Database,FILESTAT!BI$3,bfy2013_)),0,DAVERAGE(_xlnm.Database,FILESTAT!BI$3,bfy2013_)),0)</f>
        <v>4235819</v>
      </c>
      <c r="BJ110" s="122"/>
      <c r="BK110" s="122"/>
      <c r="BL110" s="122"/>
      <c r="BM110" s="123">
        <f>ROUND(IF(ISERROR(DAVERAGE(_xlnm.Database,FILESTAT!BM$3,bfy2013_)),0,DAVERAGE(_xlnm.Database,FILESTAT!BM$3,bfy2013_)),0)</f>
        <v>0</v>
      </c>
      <c r="BO110" s="121">
        <f>ROUND(IF(ISERROR(DAVERAGE(_xlnm.Database,FILESTAT!BO$3,bfy2013_)),0,DAVERAGE(_xlnm.Database,FILESTAT!BO$3,bfy2013_)),0)</f>
        <v>0</v>
      </c>
      <c r="BP110" s="123">
        <f>ROUND(IF(ISERROR(DAVERAGE(_xlnm.Database,FILESTAT!BP$3,bfy2013_)),0,DAVERAGE(_xlnm.Database,FILESTAT!BP$3,bfy2013_)),0)</f>
        <v>168</v>
      </c>
      <c r="BR110" s="252"/>
      <c r="BS110" s="179"/>
      <c r="BT110" s="251"/>
      <c r="BV110" s="121">
        <f>ROUND(IF(ISERROR(DAVERAGE(_xlnm.Database,FILESTAT!BV$3,bfy2013_)),0,DAVERAGE(_xlnm.Database,FILESTAT!BV$3,bfy2013_)),0)</f>
        <v>4</v>
      </c>
      <c r="BW110" s="122">
        <f>ROUND(IF(ISERROR(DAVERAGE(_xlnm.Database,FILESTAT!BW$3,bfy2013_)),0,DAVERAGE(_xlnm.Database,FILESTAT!BW$3,bfy2013_)),0)</f>
        <v>2</v>
      </c>
      <c r="BX110" s="122">
        <f>ROUND(IF(ISERROR(DAVERAGE(_xlnm.Database,FILESTAT!BX$3,bfy2013_)),0,DAVERAGE(_xlnm.Database,FILESTAT!BX$3,bfy2013_)),0)</f>
        <v>5</v>
      </c>
      <c r="BY110" s="122">
        <f>ROUND(IF(ISERROR(DAVERAGE(_xlnm.Database,FILESTAT!BY$3,bfy2013_)),0,DAVERAGE(_xlnm.Database,FILESTAT!BY$3,bfy2013_)),0)</f>
        <v>0</v>
      </c>
      <c r="BZ110" s="122">
        <f>ROUND(IF(ISERROR(DAVERAGE(_xlnm.Database,FILESTAT!BZ$3,bfy2013_)),0,DAVERAGE(_xlnm.Database,FILESTAT!BZ$3,bfy2013_)),0)</f>
        <v>3</v>
      </c>
      <c r="CA110" s="122">
        <f>ROUND(IF(ISERROR(DAVERAGE(_xlnm.Database,FILESTAT!CA$3,bfy2013_)),0,DAVERAGE(_xlnm.Database,FILESTAT!CA$3,bfy2013_)),0)</f>
        <v>1</v>
      </c>
      <c r="CB110" s="122">
        <f>ROUND(IF(ISERROR(DAVERAGE(_xlnm.Database,FILESTAT!CB$3,bfy2013_)),0,DAVERAGE(_xlnm.Database,FILESTAT!CB$3,bfy2013_)),0)</f>
        <v>0</v>
      </c>
      <c r="CC110" s="122"/>
      <c r="CD110" s="122">
        <f>ROUND(IF(ISERROR(DAVERAGE(_xlnm.Database,FILESTAT!CD$3,bfy2013_)),0,DAVERAGE(_xlnm.Database,FILESTAT!CD$3,bfy2013_)),0)</f>
        <v>4</v>
      </c>
      <c r="CE110" s="122">
        <f>ROUND(IF(ISERROR(DAVERAGE(_xlnm.Database,FILESTAT!CE$3,bfy2013_)),0,DAVERAGE(_xlnm.Database,FILESTAT!CE$3,bfy2013_)),0)</f>
        <v>10</v>
      </c>
      <c r="CF110" s="122">
        <f>ROUND(IF(ISERROR(DAVERAGE(_xlnm.Database,FILESTAT!CF$3,bfy2013_)),0,DAVERAGE(_xlnm.Database,FILESTAT!CF$3,bfy2013_)),0)</f>
        <v>0</v>
      </c>
      <c r="CG110" s="122">
        <f>ROUND(IF(ISERROR(DAVERAGE(_xlnm.Database,FILESTAT!CG$3,bfy2013_)),0,DAVERAGE(_xlnm.Database,FILESTAT!CG$3,bfy2013_)),0)</f>
        <v>2</v>
      </c>
      <c r="CH110" s="122">
        <f>ROUND(IF(ISERROR(DAVERAGE(_xlnm.Database,FILESTAT!CH$3,bfy2013_)),0,DAVERAGE(_xlnm.Database,FILESTAT!CH$3,bfy2013_)),0)</f>
        <v>2</v>
      </c>
      <c r="CI110" s="122">
        <f>ROUND(IF(ISERROR(DAVERAGE(_xlnm.Database,FILESTAT!CI$3,bfy2013_)),0,DAVERAGE(_xlnm.Database,FILESTAT!CI$3,bfy2013_)),0)</f>
        <v>9</v>
      </c>
      <c r="CJ110" s="122">
        <f>ROUND(IF(ISERROR(DAVERAGE(_xlnm.Database,FILESTAT!CJ$3,bfy2013_)),0,DAVERAGE(_xlnm.Database,FILESTAT!CJ$3,bfy2013_)),0)</f>
        <v>14</v>
      </c>
      <c r="CK110" s="122"/>
      <c r="CL110" s="122"/>
      <c r="CM110" s="122">
        <f>ROUND(IF(ISERROR(DAVERAGE(_xlnm.Database,FILESTAT!CM$3,bfy2013_)),0,DAVERAGE(_xlnm.Database,FILESTAT!CM$3,bfy2013_)),0)</f>
        <v>6</v>
      </c>
      <c r="CN110" s="122">
        <f>ROUND(IF(ISERROR(DAVERAGE(_xlnm.Database,FILESTAT!CN$3,bfy2013_)),0,DAVERAGE(_xlnm.Database,FILESTAT!CN$3,bfy2013_)),0)</f>
        <v>2</v>
      </c>
      <c r="CO110" s="122">
        <f>ROUND(IF(ISERROR(DAVERAGE(_xlnm.Database,FILESTAT!CO$3,bfy2013_)),0,DAVERAGE(_xlnm.Database,FILESTAT!CO$3,bfy2013_)),0)</f>
        <v>7</v>
      </c>
      <c r="CP110" s="122"/>
      <c r="CQ110" s="122">
        <f>ROUND(IF(ISERROR(DAVERAGE(_xlnm.Database,FILESTAT!CQ$3,bfy2013_)),0,DAVERAGE(_xlnm.Database,FILESTAT!CQ$3,bfy2013_)),0)</f>
        <v>12</v>
      </c>
      <c r="CR110" s="122"/>
      <c r="CS110" s="122">
        <f>ROUND(IF(ISERROR(DAVERAGE(_xlnm.Database,FILESTAT!CS$3,bfy2013_)),0,DAVERAGE(_xlnm.Database,FILESTAT!CS$3,bfy2013_)),0)</f>
        <v>14</v>
      </c>
      <c r="CT110" s="122">
        <f>ROUND(IF(ISERROR(DAVERAGE(_xlnm.Database,FILESTAT!CT$3,bfy2013_)),0,DAVERAGE(_xlnm.Database,FILESTAT!CT$3,bfy2013_)),0)</f>
        <v>5</v>
      </c>
      <c r="CU110" s="122">
        <f>ROUND(IF(ISERROR(DAVERAGE(_xlnm.Database,FILESTAT!CU$3,bfy2013_)),0,DAVERAGE(_xlnm.Database,FILESTAT!CU$3,bfy2013_)),0)</f>
        <v>0</v>
      </c>
      <c r="CV110" s="122">
        <f>ROUND(IF(ISERROR(DAVERAGE(_xlnm.Database,FILESTAT!CV$3,bfy2013_)),0,DAVERAGE(_xlnm.Database,FILESTAT!CV$3,bfy2013_)),0)</f>
        <v>3</v>
      </c>
      <c r="CW110" s="122">
        <f>ROUND(IF(ISERROR(DAVERAGE(_xlnm.Database,FILESTAT!CW$3,bfy2013_)),0,DAVERAGE(_xlnm.Database,FILESTAT!CW$3,bfy2013_)),0)</f>
        <v>0</v>
      </c>
      <c r="CX110" s="122"/>
      <c r="CY110" s="122">
        <f>ROUND(IF(ISERROR(DAVERAGE(_xlnm.Database,FILESTAT!CY$3,bfy2013_)),0,DAVERAGE(_xlnm.Database,FILESTAT!CY$3,bfy2013_)),0)</f>
        <v>6</v>
      </c>
      <c r="CZ110" s="122">
        <f>ROUND(IF(ISERROR(DAVERAGE(_xlnm.Database,FILESTAT!CZ$3,bfy2013_)),0,DAVERAGE(_xlnm.Database,FILESTAT!CZ$3,bfy2013_)),0)</f>
        <v>0</v>
      </c>
      <c r="DA110" s="122">
        <f>ROUND(IF(ISERROR(DAVERAGE(_xlnm.Database,FILESTAT!DA$3,bfy2013_)),0,DAVERAGE(_xlnm.Database,FILESTAT!DA$3,bfy2013_)),0)</f>
        <v>1</v>
      </c>
      <c r="DB110" s="122">
        <f>ROUND(IF(ISERROR(DAVERAGE(_xlnm.Database,FILESTAT!DB$3,bfy2013_)),0,DAVERAGE(_xlnm.Database,FILESTAT!DB$3,bfy2013_)),0)</f>
        <v>5</v>
      </c>
      <c r="DC110" s="122">
        <f>ROUND(IF(ISERROR(DAVERAGE(_xlnm.Database,FILESTAT!DC$3,bfy2013_)),0,DAVERAGE(_xlnm.Database,FILESTAT!DC$3,bfy2013_)),0)</f>
        <v>11</v>
      </c>
      <c r="DD110" s="122">
        <f>ROUND(IF(ISERROR(DAVERAGE(_xlnm.Database,FILESTAT!DD$3,bfy2013_)),0,DAVERAGE(_xlnm.Database,FILESTAT!DD$3,bfy2013_)),0)</f>
        <v>2</v>
      </c>
      <c r="DE110" s="122">
        <f>ROUND(IF(ISERROR(DAVERAGE(_xlnm.Database,FILESTAT!DE$3,bfy2013_)),0,DAVERAGE(_xlnm.Database,FILESTAT!DE$3,bfy2013_)),0)</f>
        <v>0</v>
      </c>
      <c r="DF110" s="122">
        <f>ROUND(IF(ISERROR(DAVERAGE(_xlnm.Database,FILESTAT!DF$3,bfy2013_)),0,DAVERAGE(_xlnm.Database,FILESTAT!DF$3,bfy2013_)),0)</f>
        <v>0</v>
      </c>
      <c r="DG110" s="122">
        <f>ROUND(IF(ISERROR(DAVERAGE(_xlnm.Database,FILESTAT!DG$3,bfy2013_)),0,DAVERAGE(_xlnm.Database,FILESTAT!DG$3,bfy2013_)),0)</f>
        <v>2</v>
      </c>
      <c r="DH110" s="122">
        <f>ROUND(IF(ISERROR(DAVERAGE(_xlnm.Database,FILESTAT!DH$3,bfy2013_)),0,DAVERAGE(_xlnm.Database,FILESTAT!DH$3,bfy2013_)),0)</f>
        <v>2</v>
      </c>
      <c r="DI110" s="122">
        <f>ROUND(IF(ISERROR(DAVERAGE(_xlnm.Database,FILESTAT!DI$3,bfy2013_)),0,DAVERAGE(_xlnm.Database,FILESTAT!DI$3,bfy2013_)),0)</f>
        <v>3</v>
      </c>
      <c r="DJ110" s="122">
        <f>ROUND(IF(ISERROR(DAVERAGE(_xlnm.Database,FILESTAT!DJ$3,bfy2013_)),0,DAVERAGE(_xlnm.Database,FILESTAT!DJ$3,bfy2013_)),0)</f>
        <v>2</v>
      </c>
      <c r="DK110" s="122"/>
      <c r="DL110" s="122">
        <f>ROUND(IF(ISERROR(DAVERAGE(_xlnm.Database,FILESTAT!DL$3,bfy2013_)),0,DAVERAGE(_xlnm.Database,FILESTAT!DL$3,bfy2013_)),0)</f>
        <v>0</v>
      </c>
      <c r="DM110" s="122">
        <f>ROUND(IF(ISERROR(DAVERAGE(_xlnm.Database,FILESTAT!DM$3,bfy2013_)),0,DAVERAGE(_xlnm.Database,FILESTAT!DM$3,bfy2013_)),0)</f>
        <v>2</v>
      </c>
      <c r="DN110" s="122">
        <f>ROUND(IF(ISERROR(DAVERAGE(_xlnm.Database,FILESTAT!DN$3,bfy2013_)),0,DAVERAGE(_xlnm.Database,FILESTAT!DN$3,bfy2013_)),0)</f>
        <v>2</v>
      </c>
      <c r="DO110" s="122">
        <f>ROUND(IF(ISERROR(DAVERAGE(_xlnm.Database,FILESTAT!DO$3,bfy2013_)),0,DAVERAGE(_xlnm.Database,FILESTAT!DO$3,bfy2013_)),0)</f>
        <v>3</v>
      </c>
      <c r="DP110" s="122">
        <f>ROUND(IF(ISERROR(DAVERAGE(_xlnm.Database,FILESTAT!DP$3,bfy2013_)),0,DAVERAGE(_xlnm.Database,FILESTAT!DP$3,bfy2013_)),0)</f>
        <v>0</v>
      </c>
      <c r="DQ110" s="122">
        <f>ROUND(IF(ISERROR(DAVERAGE(_xlnm.Database,FILESTAT!DQ$3,bfy2013_)),0,DAVERAGE(_xlnm.Database,FILESTAT!DQ$3,bfy2013_)),0)</f>
        <v>1</v>
      </c>
      <c r="DR110" s="122"/>
      <c r="DS110" s="122">
        <f>ROUND(IF(ISERROR(DAVERAGE(_xlnm.Database,FILESTAT!DS$3,bfy2013_)),0,DAVERAGE(_xlnm.Database,FILESTAT!DS$3,bfy2013_)),0)</f>
        <v>5</v>
      </c>
      <c r="DT110" s="122">
        <f>ROUND(IF(ISERROR(DAVERAGE(_xlnm.Database,FILESTAT!DT$3,bfy2013_)),0,DAVERAGE(_xlnm.Database,FILESTAT!DT$3,bfy2013_)),0)</f>
        <v>0</v>
      </c>
      <c r="DU110" s="122">
        <f>ROUND(IF(ISERROR(DAVERAGE(_xlnm.Database,FILESTAT!DU$3,bfy2013_)),0,DAVERAGE(_xlnm.Database,FILESTAT!DU$3,bfy2013_)),0)</f>
        <v>0</v>
      </c>
      <c r="DV110" s="127">
        <f t="shared" si="223"/>
        <v>152</v>
      </c>
      <c r="DW110" s="128"/>
    </row>
    <row r="111" spans="1:127" s="111" customFormat="1">
      <c r="A111" s="228">
        <v>2014</v>
      </c>
      <c r="B111" s="24"/>
      <c r="C111" s="121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0"/>
      <c r="T111" s="122"/>
      <c r="U111" s="122"/>
      <c r="V111" s="122"/>
      <c r="W111" s="122"/>
      <c r="X111" s="123"/>
      <c r="Z111" s="121"/>
      <c r="AA111" s="122"/>
      <c r="AB111" s="122"/>
      <c r="AC111" s="121"/>
      <c r="AD111" s="122"/>
      <c r="AE111" s="120"/>
      <c r="AG111" s="121"/>
      <c r="AH111" s="122"/>
      <c r="AI111" s="122"/>
      <c r="AJ111" s="123"/>
      <c r="AL111" s="121"/>
      <c r="AM111" s="122"/>
      <c r="AN111" s="120"/>
      <c r="AO111" s="122"/>
      <c r="AP111" s="122"/>
      <c r="AQ111" s="120"/>
      <c r="AR111" s="122"/>
      <c r="AS111" s="122"/>
      <c r="AT111" s="122"/>
      <c r="AU111" s="122"/>
      <c r="AV111" s="123"/>
      <c r="AW111"/>
      <c r="AX111" s="356"/>
      <c r="AY111"/>
      <c r="BA111" s="121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3"/>
      <c r="BO111" s="121"/>
      <c r="BP111" s="123"/>
      <c r="BR111" s="252"/>
      <c r="BS111" s="179"/>
      <c r="BT111" s="251"/>
      <c r="BV111" s="121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7"/>
      <c r="DW111" s="128"/>
    </row>
    <row r="112" spans="1:127" s="111" customFormat="1">
      <c r="A112" s="228">
        <v>2015</v>
      </c>
      <c r="B112" s="24"/>
      <c r="C112" s="121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0"/>
      <c r="T112" s="122"/>
      <c r="U112" s="122"/>
      <c r="V112" s="122"/>
      <c r="W112" s="122"/>
      <c r="X112" s="123"/>
      <c r="Z112" s="121"/>
      <c r="AA112" s="122"/>
      <c r="AB112" s="122"/>
      <c r="AC112" s="121"/>
      <c r="AD112" s="122"/>
      <c r="AE112" s="120"/>
      <c r="AG112" s="121"/>
      <c r="AH112" s="122"/>
      <c r="AI112" s="122"/>
      <c r="AJ112" s="123"/>
      <c r="AL112" s="121"/>
      <c r="AM112" s="122"/>
      <c r="AN112" s="120"/>
      <c r="AO112" s="122"/>
      <c r="AP112" s="122"/>
      <c r="AQ112" s="120"/>
      <c r="AR112" s="122"/>
      <c r="AS112" s="122"/>
      <c r="AT112" s="122"/>
      <c r="AU112" s="122"/>
      <c r="AV112" s="123"/>
      <c r="AW112"/>
      <c r="AX112" s="356"/>
      <c r="AY112"/>
      <c r="BA112" s="121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3"/>
      <c r="BO112" s="121"/>
      <c r="BP112" s="123"/>
      <c r="BR112" s="252"/>
      <c r="BS112" s="179"/>
      <c r="BT112" s="251"/>
      <c r="BV112" s="121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7"/>
      <c r="DW112" s="128"/>
    </row>
    <row r="113" spans="1:129" s="111" customFormat="1">
      <c r="A113" s="228">
        <v>2016</v>
      </c>
      <c r="B113" s="24"/>
      <c r="C113" s="121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0"/>
      <c r="T113" s="122"/>
      <c r="U113" s="122"/>
      <c r="V113" s="122"/>
      <c r="W113" s="122"/>
      <c r="X113" s="123"/>
      <c r="Z113" s="121"/>
      <c r="AA113" s="122"/>
      <c r="AB113" s="122"/>
      <c r="AC113" s="121"/>
      <c r="AD113" s="122"/>
      <c r="AE113" s="120"/>
      <c r="AG113" s="121"/>
      <c r="AH113" s="122"/>
      <c r="AI113" s="122"/>
      <c r="AJ113" s="123"/>
      <c r="AL113" s="121"/>
      <c r="AM113" s="122"/>
      <c r="AN113" s="120"/>
      <c r="AO113" s="122"/>
      <c r="AP113" s="122"/>
      <c r="AQ113" s="120"/>
      <c r="AR113" s="122"/>
      <c r="AS113" s="122"/>
      <c r="AT113" s="122"/>
      <c r="AU113" s="122"/>
      <c r="AV113" s="123"/>
      <c r="AW113"/>
      <c r="AX113" s="356"/>
      <c r="AY113"/>
      <c r="BA113" s="121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3"/>
      <c r="BO113" s="121"/>
      <c r="BP113" s="123"/>
      <c r="BR113" s="252"/>
      <c r="BS113" s="179"/>
      <c r="BT113" s="251"/>
      <c r="BV113" s="121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122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7"/>
      <c r="DW113" s="128"/>
    </row>
    <row r="114" spans="1:129" s="111" customFormat="1">
      <c r="A114" s="228">
        <v>2017</v>
      </c>
      <c r="B114" s="24"/>
      <c r="C114" s="121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0"/>
      <c r="T114" s="122"/>
      <c r="U114" s="122"/>
      <c r="V114" s="122"/>
      <c r="W114" s="122"/>
      <c r="X114" s="123"/>
      <c r="Z114" s="121"/>
      <c r="AA114" s="122"/>
      <c r="AB114" s="122"/>
      <c r="AC114" s="121"/>
      <c r="AD114" s="122"/>
      <c r="AE114" s="120"/>
      <c r="AG114" s="121"/>
      <c r="AH114" s="122"/>
      <c r="AI114" s="122"/>
      <c r="AJ114" s="123"/>
      <c r="AL114" s="121"/>
      <c r="AM114" s="122"/>
      <c r="AN114" s="120"/>
      <c r="AO114" s="122"/>
      <c r="AP114" s="122"/>
      <c r="AQ114" s="120"/>
      <c r="AR114" s="122"/>
      <c r="AS114" s="122"/>
      <c r="AT114" s="122"/>
      <c r="AU114" s="122"/>
      <c r="AV114" s="123"/>
      <c r="AW114"/>
      <c r="AX114" s="356"/>
      <c r="AY114"/>
      <c r="BA114" s="121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3"/>
      <c r="BO114" s="121"/>
      <c r="BP114" s="123"/>
      <c r="BR114" s="252"/>
      <c r="BS114" s="179"/>
      <c r="BT114" s="251"/>
      <c r="BV114" s="121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122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7"/>
      <c r="DW114" s="128"/>
    </row>
    <row r="115" spans="1:129" s="111" customFormat="1">
      <c r="A115" s="228">
        <v>2018</v>
      </c>
      <c r="B115" s="24"/>
      <c r="C115" s="121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0"/>
      <c r="T115" s="122"/>
      <c r="U115" s="122"/>
      <c r="V115" s="122"/>
      <c r="W115" s="122"/>
      <c r="X115" s="123"/>
      <c r="Z115" s="121"/>
      <c r="AA115" s="122"/>
      <c r="AB115" s="122"/>
      <c r="AC115" s="121"/>
      <c r="AD115" s="122"/>
      <c r="AE115" s="120"/>
      <c r="AG115" s="121"/>
      <c r="AH115" s="122"/>
      <c r="AI115" s="122"/>
      <c r="AJ115" s="123"/>
      <c r="AL115" s="121"/>
      <c r="AM115" s="122"/>
      <c r="AN115" s="120"/>
      <c r="AO115" s="122"/>
      <c r="AP115" s="122"/>
      <c r="AQ115" s="120"/>
      <c r="AR115" s="122"/>
      <c r="AS115" s="122"/>
      <c r="AT115" s="122"/>
      <c r="AU115" s="122"/>
      <c r="AV115" s="123"/>
      <c r="AW115"/>
      <c r="AX115" s="356"/>
      <c r="AY115"/>
      <c r="BA115" s="121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3"/>
      <c r="BO115" s="121"/>
      <c r="BP115" s="123"/>
      <c r="BR115" s="252"/>
      <c r="BS115" s="179"/>
      <c r="BT115" s="251"/>
      <c r="BV115" s="121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7"/>
      <c r="DW115" s="128"/>
    </row>
    <row r="116" spans="1:129" s="111" customFormat="1">
      <c r="A116" s="228">
        <v>2019</v>
      </c>
      <c r="B116" s="24"/>
      <c r="C116" s="121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0"/>
      <c r="T116" s="122"/>
      <c r="U116" s="122"/>
      <c r="V116" s="122"/>
      <c r="W116" s="122"/>
      <c r="X116" s="123"/>
      <c r="Z116" s="121"/>
      <c r="AA116" s="122"/>
      <c r="AB116" s="122"/>
      <c r="AC116" s="121"/>
      <c r="AD116" s="122"/>
      <c r="AE116" s="120"/>
      <c r="AG116" s="121"/>
      <c r="AH116" s="122"/>
      <c r="AI116" s="122"/>
      <c r="AJ116" s="123"/>
      <c r="AL116" s="121"/>
      <c r="AM116" s="122"/>
      <c r="AN116" s="120"/>
      <c r="AO116" s="122"/>
      <c r="AP116" s="122"/>
      <c r="AQ116" s="120"/>
      <c r="AR116" s="122"/>
      <c r="AS116" s="122"/>
      <c r="AT116" s="122"/>
      <c r="AU116" s="122"/>
      <c r="AV116" s="123"/>
      <c r="AW116"/>
      <c r="AX116" s="356"/>
      <c r="AY116"/>
      <c r="BA116" s="121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3"/>
      <c r="BO116" s="121"/>
      <c r="BP116" s="123"/>
      <c r="BR116" s="252"/>
      <c r="BS116" s="179"/>
      <c r="BT116" s="251"/>
      <c r="BV116" s="121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122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7"/>
      <c r="DW116" s="128"/>
    </row>
    <row r="117" spans="1:129" s="111" customFormat="1">
      <c r="A117" s="228">
        <v>2020</v>
      </c>
      <c r="B117" s="24"/>
      <c r="C117" s="121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0"/>
      <c r="T117" s="122"/>
      <c r="U117" s="122"/>
      <c r="V117" s="122"/>
      <c r="W117" s="122"/>
      <c r="X117" s="123"/>
      <c r="Z117" s="121"/>
      <c r="AA117" s="122"/>
      <c r="AB117" s="122"/>
      <c r="AC117" s="121"/>
      <c r="AD117" s="122"/>
      <c r="AE117" s="120"/>
      <c r="AG117" s="121"/>
      <c r="AH117" s="122"/>
      <c r="AI117" s="122"/>
      <c r="AJ117" s="123"/>
      <c r="AL117" s="121"/>
      <c r="AM117" s="122"/>
      <c r="AN117" s="120"/>
      <c r="AO117" s="122"/>
      <c r="AP117" s="122"/>
      <c r="AQ117" s="120"/>
      <c r="AR117" s="122"/>
      <c r="AS117" s="122"/>
      <c r="AT117" s="122"/>
      <c r="AU117" s="122"/>
      <c r="AV117" s="123"/>
      <c r="AW117"/>
      <c r="AX117" s="356"/>
      <c r="AY117"/>
      <c r="BA117" s="121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3"/>
      <c r="BO117" s="121"/>
      <c r="BP117" s="123"/>
      <c r="BR117" s="252"/>
      <c r="BS117" s="179"/>
      <c r="BT117" s="251"/>
      <c r="BV117" s="121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2"/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7"/>
      <c r="DW117" s="128"/>
    </row>
    <row r="118" spans="1:129" s="111" customFormat="1">
      <c r="A118" s="228"/>
      <c r="B118" s="24"/>
      <c r="C118" s="121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0"/>
      <c r="T118" s="122"/>
      <c r="U118" s="122"/>
      <c r="V118" s="122"/>
      <c r="W118" s="122"/>
      <c r="X118" s="123"/>
      <c r="Z118" s="121"/>
      <c r="AA118" s="122"/>
      <c r="AB118" s="122"/>
      <c r="AC118" s="121"/>
      <c r="AD118" s="122"/>
      <c r="AE118" s="120"/>
      <c r="AG118" s="121"/>
      <c r="AH118" s="122"/>
      <c r="AI118" s="122"/>
      <c r="AJ118" s="123"/>
      <c r="AL118" s="121"/>
      <c r="AM118" s="122"/>
      <c r="AN118" s="120"/>
      <c r="AO118" s="122"/>
      <c r="AP118" s="122"/>
      <c r="AQ118" s="120"/>
      <c r="AR118" s="122"/>
      <c r="AS118" s="122"/>
      <c r="AT118" s="122"/>
      <c r="AU118" s="122"/>
      <c r="AV118" s="123"/>
      <c r="AW118"/>
      <c r="AX118" s="356"/>
      <c r="AY118"/>
      <c r="BA118" s="121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3"/>
      <c r="BO118" s="121"/>
      <c r="BP118" s="123"/>
      <c r="BR118" s="252"/>
      <c r="BS118" s="179"/>
      <c r="BT118" s="251"/>
      <c r="BV118" s="121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  <c r="CS118" s="122"/>
      <c r="CT118" s="122"/>
      <c r="CU118" s="122"/>
      <c r="CV118" s="122"/>
      <c r="CW118" s="122"/>
      <c r="CX118" s="122"/>
      <c r="CY118" s="122"/>
      <c r="CZ118" s="122"/>
      <c r="DA118" s="122"/>
      <c r="DB118" s="122"/>
      <c r="DC118" s="122"/>
      <c r="DD118" s="122"/>
      <c r="DE118" s="122"/>
      <c r="DF118" s="122"/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7"/>
      <c r="DW118" s="128"/>
    </row>
    <row r="119" spans="1:129" s="111" customFormat="1">
      <c r="A119" s="180"/>
      <c r="B119" s="143"/>
      <c r="C119" s="110"/>
      <c r="S119" s="131"/>
      <c r="X119" s="112"/>
      <c r="Z119" s="110"/>
      <c r="AC119" s="110"/>
      <c r="AE119" s="131"/>
      <c r="AG119" s="110"/>
      <c r="AJ119" s="112"/>
      <c r="AL119" s="110"/>
      <c r="AN119" s="131"/>
      <c r="AQ119" s="131"/>
      <c r="AV119" s="112"/>
      <c r="AW119"/>
      <c r="AX119" s="356"/>
      <c r="AY119"/>
      <c r="BA119" s="110"/>
      <c r="BM119" s="112"/>
      <c r="BO119" s="110"/>
      <c r="BP119" s="112"/>
      <c r="BR119" s="244"/>
      <c r="BS119" s="162"/>
      <c r="BT119" s="237"/>
      <c r="BV119" s="110"/>
      <c r="DV119" s="112"/>
      <c r="DW119" s="128"/>
    </row>
    <row r="120" spans="1:129" s="111" customFormat="1" ht="12" thickBot="1">
      <c r="A120" s="138" t="s">
        <v>129</v>
      </c>
      <c r="B120" s="182"/>
      <c r="C120" s="181">
        <f t="shared" ref="C120:AA120" si="224">AVERAGE(C85:C119)</f>
        <v>3.3846153846153846</v>
      </c>
      <c r="D120" s="182">
        <f t="shared" si="224"/>
        <v>17.846153846153847</v>
      </c>
      <c r="E120" s="182">
        <f t="shared" si="224"/>
        <v>1.9615384615384615</v>
      </c>
      <c r="F120" s="182">
        <f t="shared" si="224"/>
        <v>0.61538461538461542</v>
      </c>
      <c r="G120" s="182">
        <f t="shared" si="224"/>
        <v>1.5384615384615385</v>
      </c>
      <c r="H120" s="182">
        <f t="shared" si="224"/>
        <v>1.1538461538461537</v>
      </c>
      <c r="I120" s="182">
        <f>AVERAGE(I85:I119)</f>
        <v>0</v>
      </c>
      <c r="J120" s="182">
        <f t="shared" ref="J120:P120" si="225">AVERAGE(J85:J119)</f>
        <v>10.846153846153847</v>
      </c>
      <c r="K120" s="182">
        <f t="shared" si="225"/>
        <v>0.42307692307692307</v>
      </c>
      <c r="L120" s="182">
        <f t="shared" si="225"/>
        <v>7.6923076923076927E-2</v>
      </c>
      <c r="M120" s="182">
        <f t="shared" si="225"/>
        <v>0</v>
      </c>
      <c r="N120" s="182">
        <f t="shared" si="225"/>
        <v>0</v>
      </c>
      <c r="O120" s="182">
        <f t="shared" si="225"/>
        <v>9.5</v>
      </c>
      <c r="P120" s="182">
        <f t="shared" si="225"/>
        <v>0.88461538461538458</v>
      </c>
      <c r="Q120" s="182">
        <f t="shared" si="224"/>
        <v>3.8461538461538464E-2</v>
      </c>
      <c r="R120" s="182">
        <f t="shared" si="224"/>
        <v>0.15384615384615385</v>
      </c>
      <c r="S120" s="174">
        <f>SUM(C120:R120)</f>
        <v>48.423076923076927</v>
      </c>
      <c r="T120" s="182">
        <f t="shared" si="224"/>
        <v>1.4230769230769231</v>
      </c>
      <c r="U120" s="182">
        <f t="shared" si="224"/>
        <v>8.0384615384615383</v>
      </c>
      <c r="V120" s="182"/>
      <c r="W120" s="182">
        <f t="shared" si="224"/>
        <v>0.34615384615384615</v>
      </c>
      <c r="X120" s="183">
        <f t="shared" si="224"/>
        <v>0.11538461538461539</v>
      </c>
      <c r="Y120" s="118"/>
      <c r="Z120" s="181">
        <f t="shared" si="224"/>
        <v>990638.23076923075</v>
      </c>
      <c r="AA120" s="182">
        <f t="shared" si="224"/>
        <v>450109.07692307694</v>
      </c>
      <c r="AB120" s="182"/>
      <c r="AC120" s="181">
        <f>AVERAGE(AC85:AC119)</f>
        <v>613269.61538461538</v>
      </c>
      <c r="AD120" s="182">
        <f>AVERAGE(AD85:AD119)</f>
        <v>331771</v>
      </c>
      <c r="AE120" s="174">
        <f>SUM(AC120:AD120)</f>
        <v>945040.61538461538</v>
      </c>
      <c r="AF120" s="118"/>
      <c r="AG120" s="181">
        <f>AVERAGE(AG85:AG119)</f>
        <v>80.5</v>
      </c>
      <c r="AH120" s="182">
        <f>AVERAGE(AH85:AH91)</f>
        <v>15.857142857142858</v>
      </c>
      <c r="AI120" s="182">
        <f>AVERAGE(AI85:AI91)</f>
        <v>139</v>
      </c>
      <c r="AJ120" s="183">
        <f>AVERAGE(AJ85:AJ91)</f>
        <v>19.142857142857142</v>
      </c>
      <c r="AK120" s="118"/>
      <c r="AL120" s="181">
        <f t="shared" ref="AL120:AV120" si="226">AVERAGE(AL85:AL119)</f>
        <v>14</v>
      </c>
      <c r="AM120" s="182">
        <f t="shared" si="226"/>
        <v>64.269230769230774</v>
      </c>
      <c r="AN120" s="174">
        <f>SUM(AL120:AM120)</f>
        <v>78.269230769230774</v>
      </c>
      <c r="AO120" s="182">
        <f t="shared" si="226"/>
        <v>49.96153846153846</v>
      </c>
      <c r="AP120" s="182">
        <f t="shared" si="226"/>
        <v>7.1923076923076925</v>
      </c>
      <c r="AQ120" s="174">
        <f>SUM(AO120:AP120)</f>
        <v>57.153846153846153</v>
      </c>
      <c r="AR120" s="182">
        <f t="shared" si="226"/>
        <v>72.461538461538467</v>
      </c>
      <c r="AS120" s="182">
        <f t="shared" si="226"/>
        <v>34.807692307692307</v>
      </c>
      <c r="AT120" s="182">
        <f t="shared" si="226"/>
        <v>64.57692307692308</v>
      </c>
      <c r="AU120" s="182">
        <f t="shared" si="226"/>
        <v>10.461538461538462</v>
      </c>
      <c r="AV120" s="183">
        <f t="shared" si="226"/>
        <v>125</v>
      </c>
      <c r="AW120"/>
      <c r="AX120" s="356"/>
      <c r="AY120"/>
      <c r="AZ120" s="118"/>
      <c r="BA120" s="181">
        <f t="shared" ref="BA120:BM120" si="227">AVERAGE(BA85:BA119)</f>
        <v>1593.1538461538462</v>
      </c>
      <c r="BB120" s="182">
        <f t="shared" si="227"/>
        <v>29384937.46153846</v>
      </c>
      <c r="BC120" s="182">
        <f t="shared" si="227"/>
        <v>6493005</v>
      </c>
      <c r="BD120" s="182"/>
      <c r="BE120" s="182">
        <f t="shared" si="227"/>
        <v>55.96153846153846</v>
      </c>
      <c r="BF120" s="182">
        <f t="shared" si="227"/>
        <v>4.1923076923076925</v>
      </c>
      <c r="BG120" s="182">
        <f t="shared" si="227"/>
        <v>2.4230769230769229</v>
      </c>
      <c r="BH120" s="182"/>
      <c r="BI120" s="182">
        <f t="shared" si="227"/>
        <v>1881544.3076923077</v>
      </c>
      <c r="BJ120" s="182"/>
      <c r="BK120" s="182"/>
      <c r="BL120" s="182"/>
      <c r="BM120" s="183">
        <f t="shared" si="227"/>
        <v>1766.0769230769231</v>
      </c>
      <c r="BN120" s="118"/>
      <c r="BO120" s="181">
        <f>AVERAGE(BO85:BO119)</f>
        <v>10.384615384615385</v>
      </c>
      <c r="BP120" s="183">
        <f>AVERAGE(BP85:BP119)</f>
        <v>115.19230769230769</v>
      </c>
      <c r="BQ120" s="118"/>
      <c r="BR120" s="253"/>
      <c r="BS120" s="184"/>
      <c r="BT120" s="254"/>
      <c r="BU120" s="118"/>
      <c r="BV120" s="181">
        <f t="shared" ref="BV120:DU120" si="228">AVERAGE(BV85:BV119)</f>
        <v>1.3461538461538463</v>
      </c>
      <c r="BW120" s="182">
        <f t="shared" si="228"/>
        <v>1.3076923076923077</v>
      </c>
      <c r="BX120" s="182">
        <f t="shared" si="228"/>
        <v>1</v>
      </c>
      <c r="BY120" s="182">
        <f t="shared" si="228"/>
        <v>3.8461538461538464E-2</v>
      </c>
      <c r="BZ120" s="182">
        <f t="shared" si="228"/>
        <v>0.15384615384615385</v>
      </c>
      <c r="CA120" s="182">
        <f t="shared" si="228"/>
        <v>0.26923076923076922</v>
      </c>
      <c r="CB120" s="182">
        <f t="shared" si="228"/>
        <v>3.8461538461538464E-2</v>
      </c>
      <c r="CC120" s="182"/>
      <c r="CD120" s="182">
        <f t="shared" si="228"/>
        <v>2.9230769230769229</v>
      </c>
      <c r="CE120" s="182">
        <f t="shared" si="228"/>
        <v>0.69230769230769229</v>
      </c>
      <c r="CF120" s="182">
        <f t="shared" si="228"/>
        <v>0.30769230769230771</v>
      </c>
      <c r="CG120" s="182">
        <f t="shared" si="228"/>
        <v>0.76923076923076927</v>
      </c>
      <c r="CH120" s="182">
        <f t="shared" si="228"/>
        <v>0.19230769230769232</v>
      </c>
      <c r="CI120" s="182">
        <f t="shared" si="228"/>
        <v>2.3461538461538463</v>
      </c>
      <c r="CJ120" s="182">
        <f t="shared" si="228"/>
        <v>3.9230769230769229</v>
      </c>
      <c r="CK120" s="182"/>
      <c r="CL120" s="182"/>
      <c r="CM120" s="182">
        <f t="shared" si="228"/>
        <v>0.65384615384615385</v>
      </c>
      <c r="CN120" s="182">
        <f t="shared" si="228"/>
        <v>0.26923076923076922</v>
      </c>
      <c r="CO120" s="182">
        <f t="shared" si="228"/>
        <v>3.4615384615384617</v>
      </c>
      <c r="CP120" s="182"/>
      <c r="CQ120" s="182">
        <f t="shared" si="228"/>
        <v>0.53846153846153844</v>
      </c>
      <c r="CR120" s="182"/>
      <c r="CS120" s="182">
        <f t="shared" si="228"/>
        <v>1.4230769230769231</v>
      </c>
      <c r="CT120" s="182">
        <f t="shared" si="228"/>
        <v>3.0384615384615383</v>
      </c>
      <c r="CU120" s="182">
        <f t="shared" si="228"/>
        <v>0.61538461538461542</v>
      </c>
      <c r="CV120" s="182">
        <f t="shared" si="228"/>
        <v>1.5</v>
      </c>
      <c r="CW120" s="182">
        <f t="shared" si="228"/>
        <v>7.6923076923076927E-2</v>
      </c>
      <c r="CX120" s="182"/>
      <c r="CY120" s="182">
        <f t="shared" si="228"/>
        <v>0.80769230769230771</v>
      </c>
      <c r="CZ120" s="182">
        <f t="shared" si="228"/>
        <v>7.6923076923076927E-2</v>
      </c>
      <c r="DA120" s="182">
        <f t="shared" si="228"/>
        <v>0.15384615384615385</v>
      </c>
      <c r="DB120" s="182">
        <f t="shared" si="228"/>
        <v>3.3846153846153846</v>
      </c>
      <c r="DC120" s="182">
        <f t="shared" si="228"/>
        <v>1</v>
      </c>
      <c r="DD120" s="182">
        <f t="shared" si="228"/>
        <v>7.6923076923076927E-2</v>
      </c>
      <c r="DE120" s="182">
        <f t="shared" si="228"/>
        <v>3.8461538461538464E-2</v>
      </c>
      <c r="DF120" s="182">
        <f t="shared" si="228"/>
        <v>7.6923076923076927E-2</v>
      </c>
      <c r="DG120" s="182">
        <f t="shared" si="228"/>
        <v>1.3461538461538463</v>
      </c>
      <c r="DH120" s="182">
        <f t="shared" si="228"/>
        <v>0.61538461538461542</v>
      </c>
      <c r="DI120" s="182">
        <f t="shared" si="228"/>
        <v>0.61538461538461542</v>
      </c>
      <c r="DJ120" s="182">
        <f t="shared" si="228"/>
        <v>0.42307692307692307</v>
      </c>
      <c r="DK120" s="182"/>
      <c r="DL120" s="182">
        <f t="shared" si="228"/>
        <v>0</v>
      </c>
      <c r="DM120" s="182">
        <f t="shared" si="228"/>
        <v>1.7307692307692308</v>
      </c>
      <c r="DN120" s="182">
        <f t="shared" si="228"/>
        <v>0.23076923076923078</v>
      </c>
      <c r="DO120" s="182">
        <f t="shared" si="228"/>
        <v>1.0384615384615385</v>
      </c>
      <c r="DP120" s="182">
        <f t="shared" si="228"/>
        <v>7.6923076923076927E-2</v>
      </c>
      <c r="DQ120" s="182">
        <f t="shared" si="228"/>
        <v>3.8461538461538464E-2</v>
      </c>
      <c r="DR120" s="182"/>
      <c r="DS120" s="182">
        <f t="shared" si="228"/>
        <v>0.96153846153846156</v>
      </c>
      <c r="DT120" s="182">
        <f t="shared" si="228"/>
        <v>0.88461538461538458</v>
      </c>
      <c r="DU120" s="182">
        <f t="shared" si="228"/>
        <v>0.15384615384615385</v>
      </c>
      <c r="DV120" s="177">
        <f>SUM(BV120:DU120)</f>
        <v>40.615384615384627</v>
      </c>
      <c r="DW120" s="142"/>
    </row>
    <row r="121" spans="1:129" s="111" customFormat="1">
      <c r="A121" s="143"/>
      <c r="B121" s="143"/>
      <c r="C121" s="185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32"/>
      <c r="T121" s="186"/>
      <c r="U121" s="186"/>
      <c r="V121" s="186"/>
      <c r="W121" s="186"/>
      <c r="X121" s="187"/>
      <c r="Z121" s="185"/>
      <c r="AA121" s="186"/>
      <c r="AB121" s="186"/>
      <c r="AC121" s="185"/>
      <c r="AD121" s="186"/>
      <c r="AE121" s="150"/>
      <c r="AG121" s="185"/>
      <c r="AH121" s="186"/>
      <c r="AI121" s="186"/>
      <c r="AJ121" s="187"/>
      <c r="AL121" s="185"/>
      <c r="AM121" s="186"/>
      <c r="AN121" s="132"/>
      <c r="AO121" s="186"/>
      <c r="AP121" s="186"/>
      <c r="AQ121" s="132"/>
      <c r="AR121" s="186"/>
      <c r="AS121" s="186"/>
      <c r="AT121" s="186"/>
      <c r="AU121" s="186"/>
      <c r="AV121" s="187"/>
      <c r="AW121"/>
      <c r="AX121" s="356"/>
      <c r="AY121"/>
      <c r="BA121" s="185"/>
      <c r="BB121" s="186"/>
      <c r="BC121" s="186"/>
      <c r="BD121" s="186"/>
      <c r="BE121" s="186"/>
      <c r="BF121" s="186"/>
      <c r="BG121" s="186"/>
      <c r="BH121" s="186"/>
      <c r="BI121" s="186"/>
      <c r="BJ121" s="186"/>
      <c r="BK121" s="186"/>
      <c r="BL121" s="186"/>
      <c r="BM121" s="187"/>
      <c r="BO121" s="185"/>
      <c r="BP121" s="187"/>
      <c r="BR121" s="255"/>
      <c r="BS121" s="256"/>
      <c r="BT121" s="257"/>
      <c r="BV121" s="185"/>
      <c r="BW121" s="186"/>
      <c r="BX121" s="186"/>
      <c r="BY121" s="186"/>
      <c r="BZ121" s="186"/>
      <c r="CA121" s="186"/>
      <c r="CB121" s="186"/>
      <c r="CC121" s="186"/>
      <c r="CD121" s="186"/>
      <c r="CE121" s="186"/>
      <c r="CF121" s="186"/>
      <c r="CG121" s="186"/>
      <c r="CH121" s="186"/>
      <c r="CI121" s="186"/>
      <c r="CJ121" s="186"/>
      <c r="CK121" s="186"/>
      <c r="CL121" s="186"/>
      <c r="CM121" s="186"/>
      <c r="CN121" s="186"/>
      <c r="CO121" s="186"/>
      <c r="CP121" s="186"/>
      <c r="CQ121" s="186"/>
      <c r="CR121" s="186"/>
      <c r="CS121" s="186"/>
      <c r="CT121" s="186"/>
      <c r="CU121" s="186"/>
      <c r="CV121" s="186"/>
      <c r="CW121" s="186"/>
      <c r="CX121" s="186"/>
      <c r="CY121" s="186"/>
      <c r="CZ121" s="186"/>
      <c r="DA121" s="186"/>
      <c r="DB121" s="186"/>
      <c r="DC121" s="186"/>
      <c r="DD121" s="186"/>
      <c r="DE121" s="186"/>
      <c r="DF121" s="186"/>
      <c r="DG121" s="186"/>
      <c r="DH121" s="186"/>
      <c r="DI121" s="186"/>
      <c r="DJ121" s="186"/>
      <c r="DK121" s="186"/>
      <c r="DL121" s="186"/>
      <c r="DM121" s="186"/>
      <c r="DN121" s="186"/>
      <c r="DO121" s="186"/>
      <c r="DP121" s="186"/>
      <c r="DQ121" s="186"/>
      <c r="DR121" s="186"/>
      <c r="DS121" s="186"/>
      <c r="DT121" s="186"/>
      <c r="DU121" s="186"/>
      <c r="DV121" s="187"/>
    </row>
    <row r="122" spans="1:129" s="156" customFormat="1">
      <c r="AL122" s="110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2"/>
      <c r="AW122"/>
      <c r="AX122" s="356"/>
      <c r="AY122"/>
    </row>
    <row r="123" spans="1:129" s="156" customFormat="1" ht="22.5">
      <c r="A123" s="188" t="s">
        <v>175</v>
      </c>
      <c r="B123" s="188"/>
      <c r="AL123" s="110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2"/>
      <c r="AW123"/>
      <c r="AX123"/>
      <c r="AY123" s="356"/>
      <c r="DX123" s="111"/>
      <c r="DY123" s="111"/>
    </row>
    <row r="124" spans="1:129" s="156" customFormat="1">
      <c r="A124" s="167" t="str">
        <f>A31</f>
        <v>2014 YTD</v>
      </c>
      <c r="B124" s="167"/>
      <c r="C124" s="189">
        <f t="shared" ref="C124:L124" si="229">C31</f>
        <v>0</v>
      </c>
      <c r="D124" s="189">
        <f t="shared" si="229"/>
        <v>0</v>
      </c>
      <c r="E124" s="189">
        <f t="shared" si="229"/>
        <v>0</v>
      </c>
      <c r="F124" s="189">
        <f t="shared" si="229"/>
        <v>0</v>
      </c>
      <c r="G124" s="189">
        <f t="shared" si="229"/>
        <v>0</v>
      </c>
      <c r="H124" s="189">
        <f t="shared" si="229"/>
        <v>0</v>
      </c>
      <c r="I124" s="189">
        <f t="shared" si="229"/>
        <v>0</v>
      </c>
      <c r="J124" s="189">
        <f t="shared" si="229"/>
        <v>0</v>
      </c>
      <c r="K124" s="189">
        <f t="shared" si="229"/>
        <v>0</v>
      </c>
      <c r="L124" s="189">
        <f t="shared" si="229"/>
        <v>0</v>
      </c>
      <c r="M124" s="189"/>
      <c r="N124" s="189"/>
      <c r="O124" s="189">
        <f t="shared" ref="O124:U124" si="230">O31</f>
        <v>0</v>
      </c>
      <c r="P124" s="189">
        <f t="shared" si="230"/>
        <v>0</v>
      </c>
      <c r="Q124" s="189">
        <f t="shared" si="230"/>
        <v>0</v>
      </c>
      <c r="R124" s="189">
        <f t="shared" si="230"/>
        <v>0</v>
      </c>
      <c r="S124" s="189" t="str">
        <f t="shared" si="230"/>
        <v>PROBLEM</v>
      </c>
      <c r="T124" s="189">
        <f t="shared" si="230"/>
        <v>0</v>
      </c>
      <c r="U124" s="189">
        <f t="shared" si="230"/>
        <v>0</v>
      </c>
      <c r="V124" s="189"/>
      <c r="W124" s="189">
        <f>W31</f>
        <v>0</v>
      </c>
      <c r="X124" s="189">
        <f>X31</f>
        <v>0</v>
      </c>
      <c r="Y124" s="189"/>
      <c r="Z124" s="189">
        <f>Z31</f>
        <v>0</v>
      </c>
      <c r="AA124" s="189">
        <f>AA31</f>
        <v>0</v>
      </c>
      <c r="AB124" s="189"/>
      <c r="AC124" s="189">
        <f>AC31</f>
        <v>0</v>
      </c>
      <c r="AD124" s="189">
        <f>AD31</f>
        <v>0</v>
      </c>
      <c r="AE124" s="189">
        <f>AE31</f>
        <v>0</v>
      </c>
      <c r="AF124" s="189"/>
      <c r="AG124" s="189">
        <f>AG31</f>
        <v>0</v>
      </c>
      <c r="AH124" s="189">
        <f>AH31</f>
        <v>0</v>
      </c>
      <c r="AI124" s="189">
        <f>AI31</f>
        <v>0</v>
      </c>
      <c r="AJ124" s="189">
        <f>AJ31</f>
        <v>0</v>
      </c>
      <c r="AK124" s="189"/>
      <c r="AL124" s="234" t="e">
        <f t="shared" ref="AL124:AV124" si="231">AL31</f>
        <v>#DIV/0!</v>
      </c>
      <c r="AM124" s="189" t="e">
        <f t="shared" si="231"/>
        <v>#DIV/0!</v>
      </c>
      <c r="AN124" s="189" t="e">
        <f t="shared" si="231"/>
        <v>#DIV/0!</v>
      </c>
      <c r="AO124" s="189">
        <f t="shared" si="231"/>
        <v>0</v>
      </c>
      <c r="AP124" s="189">
        <f t="shared" si="231"/>
        <v>0</v>
      </c>
      <c r="AQ124" s="189">
        <f t="shared" si="231"/>
        <v>0</v>
      </c>
      <c r="AR124" s="189" t="e">
        <f t="shared" si="231"/>
        <v>#DIV/0!</v>
      </c>
      <c r="AS124" s="189" t="e">
        <f t="shared" si="231"/>
        <v>#DIV/0!</v>
      </c>
      <c r="AT124" s="189" t="e">
        <f t="shared" si="231"/>
        <v>#DIV/0!</v>
      </c>
      <c r="AU124" s="189" t="e">
        <f t="shared" si="231"/>
        <v>#DIV/0!</v>
      </c>
      <c r="AV124" s="235" t="e">
        <f t="shared" si="231"/>
        <v>#DIV/0!</v>
      </c>
      <c r="AW124"/>
      <c r="AX124"/>
      <c r="AY124" s="356"/>
      <c r="AZ124" s="189"/>
      <c r="BA124" s="189" t="e">
        <f>BA31</f>
        <v>#DIV/0!</v>
      </c>
      <c r="BB124" s="189" t="e">
        <f>BB31</f>
        <v>#DIV/0!</v>
      </c>
      <c r="BC124" s="189">
        <f>BC31</f>
        <v>0</v>
      </c>
      <c r="BD124" s="189"/>
      <c r="BE124" s="189">
        <f>BE31</f>
        <v>0</v>
      </c>
      <c r="BF124" s="189">
        <f>BF31</f>
        <v>0</v>
      </c>
      <c r="BG124" s="189">
        <f>BG31</f>
        <v>0</v>
      </c>
      <c r="BH124" s="189"/>
      <c r="BI124" s="189" t="e">
        <f>BI31</f>
        <v>#DIV/0!</v>
      </c>
      <c r="BJ124" s="189"/>
      <c r="BK124" s="189"/>
      <c r="BL124" s="189"/>
      <c r="BM124" s="189">
        <f>BM31</f>
        <v>0</v>
      </c>
      <c r="BN124" s="189"/>
      <c r="BO124" s="189">
        <f>BO31</f>
        <v>0</v>
      </c>
      <c r="BP124" s="189" t="e">
        <f>BP31</f>
        <v>#DIV/0!</v>
      </c>
      <c r="BQ124" s="189">
        <f>BQ26</f>
        <v>0</v>
      </c>
      <c r="BR124" s="189">
        <f>BR26</f>
        <v>0</v>
      </c>
      <c r="BS124" s="189">
        <f>BS26</f>
        <v>0</v>
      </c>
      <c r="BT124" s="189">
        <f>BT26</f>
        <v>0</v>
      </c>
      <c r="BU124" s="189">
        <f>BU26</f>
        <v>0</v>
      </c>
      <c r="BV124" s="189">
        <f t="shared" ref="BV124:CB124" si="232">BV31</f>
        <v>0</v>
      </c>
      <c r="BW124" s="189">
        <f t="shared" si="232"/>
        <v>0</v>
      </c>
      <c r="BX124" s="189">
        <f t="shared" si="232"/>
        <v>0</v>
      </c>
      <c r="BY124" s="189">
        <f t="shared" si="232"/>
        <v>0</v>
      </c>
      <c r="BZ124" s="189">
        <f t="shared" si="232"/>
        <v>0</v>
      </c>
      <c r="CA124" s="189">
        <f t="shared" si="232"/>
        <v>0</v>
      </c>
      <c r="CB124" s="189">
        <f t="shared" si="232"/>
        <v>0</v>
      </c>
      <c r="CC124" s="189"/>
      <c r="CD124" s="189">
        <f t="shared" ref="CD124:CJ124" si="233">CD31</f>
        <v>0</v>
      </c>
      <c r="CE124" s="189">
        <f t="shared" si="233"/>
        <v>0</v>
      </c>
      <c r="CF124" s="189">
        <f t="shared" si="233"/>
        <v>0</v>
      </c>
      <c r="CG124" s="189">
        <f t="shared" si="233"/>
        <v>0</v>
      </c>
      <c r="CH124" s="189">
        <f t="shared" si="233"/>
        <v>0</v>
      </c>
      <c r="CI124" s="189">
        <f t="shared" si="233"/>
        <v>0</v>
      </c>
      <c r="CJ124" s="189">
        <f t="shared" si="233"/>
        <v>0</v>
      </c>
      <c r="CK124" s="189"/>
      <c r="CL124" s="189"/>
      <c r="CM124" s="189">
        <f>CM31</f>
        <v>0</v>
      </c>
      <c r="CN124" s="189">
        <f>CN31</f>
        <v>0</v>
      </c>
      <c r="CO124" s="189">
        <f>CO31</f>
        <v>0</v>
      </c>
      <c r="CP124" s="189"/>
      <c r="CQ124" s="189">
        <f>CQ31</f>
        <v>0</v>
      </c>
      <c r="CR124" s="189"/>
      <c r="CS124" s="189">
        <f>CS31</f>
        <v>0</v>
      </c>
      <c r="CT124" s="189">
        <f>CT31</f>
        <v>0</v>
      </c>
      <c r="CU124" s="189">
        <f>CU31</f>
        <v>0</v>
      </c>
      <c r="CV124" s="189">
        <f>CV31</f>
        <v>0</v>
      </c>
      <c r="CW124" s="189">
        <f>CW31</f>
        <v>0</v>
      </c>
      <c r="CX124" s="189"/>
      <c r="CY124" s="189">
        <f t="shared" ref="CY124:DJ124" si="234">CY31</f>
        <v>0</v>
      </c>
      <c r="CZ124" s="189">
        <f t="shared" si="234"/>
        <v>0</v>
      </c>
      <c r="DA124" s="189">
        <f t="shared" si="234"/>
        <v>0</v>
      </c>
      <c r="DB124" s="189">
        <f t="shared" si="234"/>
        <v>0</v>
      </c>
      <c r="DC124" s="189">
        <f t="shared" si="234"/>
        <v>0</v>
      </c>
      <c r="DD124" s="189">
        <f t="shared" si="234"/>
        <v>0</v>
      </c>
      <c r="DE124" s="189">
        <f t="shared" si="234"/>
        <v>0</v>
      </c>
      <c r="DF124" s="189">
        <f t="shared" si="234"/>
        <v>0</v>
      </c>
      <c r="DG124" s="189">
        <f t="shared" si="234"/>
        <v>0</v>
      </c>
      <c r="DH124" s="189">
        <f t="shared" si="234"/>
        <v>0</v>
      </c>
      <c r="DI124" s="189">
        <f t="shared" si="234"/>
        <v>0</v>
      </c>
      <c r="DJ124" s="189">
        <f t="shared" si="234"/>
        <v>0</v>
      </c>
      <c r="DK124" s="189"/>
      <c r="DL124" s="189">
        <f t="shared" ref="DL124:DQ124" si="235">DL31</f>
        <v>0</v>
      </c>
      <c r="DM124" s="189">
        <f t="shared" si="235"/>
        <v>0</v>
      </c>
      <c r="DN124" s="189">
        <f t="shared" si="235"/>
        <v>0</v>
      </c>
      <c r="DO124" s="189">
        <f t="shared" si="235"/>
        <v>0</v>
      </c>
      <c r="DP124" s="189">
        <f t="shared" si="235"/>
        <v>0</v>
      </c>
      <c r="DQ124" s="189">
        <f t="shared" si="235"/>
        <v>0</v>
      </c>
      <c r="DR124" s="189"/>
      <c r="DS124" s="189">
        <f>DS31</f>
        <v>0</v>
      </c>
      <c r="DT124" s="189">
        <f>DT31</f>
        <v>0</v>
      </c>
      <c r="DU124" s="189">
        <f>DU31</f>
        <v>0</v>
      </c>
      <c r="DV124" s="189">
        <f>DV31</f>
        <v>0</v>
      </c>
      <c r="DW124" s="189">
        <f>DW63</f>
        <v>0</v>
      </c>
      <c r="DX124" s="111"/>
      <c r="DY124" s="111"/>
    </row>
    <row r="125" spans="1:129" s="156" customFormat="1">
      <c r="AL125" s="110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2"/>
      <c r="AW125"/>
      <c r="AX125"/>
      <c r="AY125" s="356"/>
      <c r="DX125" s="111"/>
      <c r="DY125" s="111"/>
    </row>
    <row r="126" spans="1:129" s="111" customFormat="1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Z126" s="156"/>
      <c r="AA126" s="156"/>
      <c r="AB126" s="156"/>
      <c r="AC126" s="156"/>
      <c r="AD126" s="156"/>
      <c r="AE126" s="156"/>
      <c r="AG126" s="156"/>
      <c r="AH126" s="156"/>
      <c r="AI126" s="156"/>
      <c r="AJ126" s="156"/>
      <c r="AL126" s="185"/>
      <c r="AM126" s="186"/>
      <c r="AN126" s="186"/>
      <c r="AO126" s="186"/>
      <c r="AP126" s="186"/>
      <c r="AQ126" s="186"/>
      <c r="AR126" s="186"/>
      <c r="AS126" s="186"/>
      <c r="AT126" s="186"/>
      <c r="AU126" s="186"/>
      <c r="AV126" s="187"/>
      <c r="AW126"/>
      <c r="AX126"/>
      <c r="AY126" s="3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O126" s="156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56"/>
      <c r="CB126" s="156"/>
      <c r="CC126" s="156"/>
      <c r="CD126" s="156"/>
      <c r="CE126" s="156"/>
      <c r="CF126" s="156"/>
      <c r="CG126" s="156"/>
      <c r="CH126" s="156"/>
      <c r="CI126" s="156"/>
      <c r="CJ126" s="156"/>
      <c r="CK126" s="156"/>
      <c r="CL126" s="156"/>
      <c r="CM126" s="156"/>
      <c r="CN126" s="156"/>
      <c r="CO126" s="156"/>
      <c r="CP126" s="156"/>
      <c r="CQ126" s="156"/>
      <c r="CR126" s="156"/>
      <c r="CS126" s="156"/>
      <c r="CT126" s="156"/>
      <c r="CU126" s="156"/>
      <c r="CV126" s="156"/>
      <c r="CW126" s="156"/>
      <c r="CX126" s="156"/>
      <c r="CY126" s="156"/>
      <c r="CZ126" s="156"/>
      <c r="DA126" s="156"/>
      <c r="DB126" s="156"/>
      <c r="DC126" s="156"/>
      <c r="DD126" s="156"/>
      <c r="DE126" s="156"/>
      <c r="DF126" s="156"/>
      <c r="DG126" s="156"/>
      <c r="DH126" s="156"/>
      <c r="DI126" s="156"/>
      <c r="DJ126" s="156"/>
      <c r="DK126" s="156"/>
      <c r="DL126" s="156"/>
      <c r="DM126" s="156"/>
      <c r="DN126" s="156"/>
      <c r="DO126" s="156"/>
      <c r="DP126" s="156"/>
      <c r="DQ126" s="156"/>
      <c r="DR126" s="156"/>
      <c r="DS126" s="156"/>
      <c r="DT126" s="156"/>
      <c r="DU126" s="156"/>
      <c r="DV126" s="156"/>
      <c r="DW126" s="156"/>
    </row>
    <row r="127" spans="1:129">
      <c r="AW127"/>
      <c r="AY127" s="10"/>
      <c r="BA127"/>
      <c r="BC127" s="318"/>
      <c r="BF127"/>
      <c r="BG127"/>
      <c r="BJ127" s="298"/>
      <c r="BK127" s="298"/>
      <c r="BM127" s="10"/>
      <c r="CH127"/>
      <c r="CJ127" s="318"/>
      <c r="CM127"/>
      <c r="CO127" s="318"/>
      <c r="CU127"/>
      <c r="CW127" s="318"/>
      <c r="DH127"/>
      <c r="DJ127" s="318"/>
      <c r="DU127"/>
      <c r="DV127"/>
    </row>
    <row r="128" spans="1:129">
      <c r="AW128"/>
      <c r="AY128" s="10"/>
      <c r="BA128"/>
      <c r="BC128" s="318"/>
      <c r="BF128"/>
      <c r="BG128"/>
      <c r="BJ128" s="298"/>
      <c r="BK128" s="298"/>
      <c r="BM128" s="10"/>
      <c r="CH128"/>
      <c r="CJ128" s="318"/>
      <c r="CM128"/>
      <c r="CO128" s="318"/>
      <c r="CU128"/>
      <c r="CW128" s="318"/>
      <c r="DH128"/>
      <c r="DJ128" s="318"/>
      <c r="DU128"/>
      <c r="DV128"/>
    </row>
  </sheetData>
  <mergeCells count="27">
    <mergeCell ref="BV83:DV83"/>
    <mergeCell ref="BV3:DV3"/>
    <mergeCell ref="BV44:DV44"/>
    <mergeCell ref="BO44:BP44"/>
    <mergeCell ref="BA44:BM44"/>
    <mergeCell ref="BR3:BT3"/>
    <mergeCell ref="BR83:BT83"/>
    <mergeCell ref="BR44:BT44"/>
    <mergeCell ref="AG83:AJ83"/>
    <mergeCell ref="AG3:AJ3"/>
    <mergeCell ref="BA3:BM3"/>
    <mergeCell ref="BA83:BM83"/>
    <mergeCell ref="BO3:BP3"/>
    <mergeCell ref="BO83:BP83"/>
    <mergeCell ref="AG44:AJ44"/>
    <mergeCell ref="AL3:AV3"/>
    <mergeCell ref="AL44:AV44"/>
    <mergeCell ref="AL83:AV83"/>
    <mergeCell ref="AX44:AY44"/>
    <mergeCell ref="AX83:AY83"/>
    <mergeCell ref="AX3:AY3"/>
    <mergeCell ref="Z3:AE3"/>
    <mergeCell ref="C3:X3"/>
    <mergeCell ref="Z44:AE44"/>
    <mergeCell ref="C44:X44"/>
    <mergeCell ref="Z83:AE83"/>
    <mergeCell ref="C83:X83"/>
  </mergeCells>
  <phoneticPr fontId="0" type="noConversion"/>
  <pageMargins left="0.75" right="0.75" top="1" bottom="1" header="0.5" footer="0.5"/>
  <pageSetup scale="51" fitToWidth="4" pageOrder="overThenDown" orientation="landscape" r:id="rId1"/>
  <headerFooter alignWithMargins="0"/>
  <rowBreaks count="1" manualBreakCount="1">
    <brk id="81" max="16383" man="1"/>
  </rowBreaks>
  <ignoredErrors>
    <ignoredError sqref="S46:S6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pane ySplit="1" topLeftCell="A2" activePane="bottomLeft" state="frozenSplit"/>
      <selection pane="bottomLeft" activeCell="F2" sqref="F2"/>
    </sheetView>
  </sheetViews>
  <sheetFormatPr defaultRowHeight="11.25"/>
  <cols>
    <col min="1" max="1" width="5.1640625" customWidth="1"/>
    <col min="2" max="2" width="5.5" customWidth="1"/>
    <col min="3" max="3" width="9.83203125" customWidth="1"/>
    <col min="4" max="5" width="8.83203125" customWidth="1"/>
    <col min="6" max="6" width="11.1640625" customWidth="1"/>
    <col min="7" max="7" width="8.83203125" customWidth="1"/>
  </cols>
  <sheetData>
    <row r="1" spans="1:8" ht="33.75">
      <c r="A1" s="89" t="s">
        <v>183</v>
      </c>
      <c r="B1" s="89" t="s">
        <v>165</v>
      </c>
      <c r="C1" s="89" t="s">
        <v>167</v>
      </c>
      <c r="D1" s="89" t="s">
        <v>166</v>
      </c>
      <c r="E1" s="89" t="s">
        <v>168</v>
      </c>
      <c r="F1" s="89" t="s">
        <v>169</v>
      </c>
      <c r="G1" s="89" t="s">
        <v>184</v>
      </c>
    </row>
    <row r="2" spans="1:8">
      <c r="A2" s="84">
        <v>36892</v>
      </c>
      <c r="B2">
        <v>365</v>
      </c>
      <c r="C2">
        <v>104</v>
      </c>
      <c r="D2">
        <v>11</v>
      </c>
      <c r="E2">
        <f t="shared" ref="E2:E8" si="0">B2-C2-D2</f>
        <v>250</v>
      </c>
      <c r="F2">
        <v>942</v>
      </c>
      <c r="G2" s="85">
        <f t="shared" ref="G2:G8" si="1">F2/E2</f>
        <v>3.7679999999999998</v>
      </c>
    </row>
    <row r="3" spans="1:8">
      <c r="A3" s="84">
        <v>37257</v>
      </c>
      <c r="B3">
        <v>365</v>
      </c>
      <c r="C3">
        <v>104</v>
      </c>
      <c r="D3">
        <v>11</v>
      </c>
      <c r="E3">
        <f t="shared" si="0"/>
        <v>250</v>
      </c>
      <c r="F3">
        <v>1109</v>
      </c>
      <c r="G3" s="85">
        <f t="shared" si="1"/>
        <v>4.4359999999999999</v>
      </c>
    </row>
    <row r="4" spans="1:8">
      <c r="A4" s="84">
        <v>37622</v>
      </c>
      <c r="B4">
        <v>365</v>
      </c>
      <c r="C4">
        <v>104</v>
      </c>
      <c r="D4">
        <v>11</v>
      </c>
      <c r="E4">
        <f t="shared" si="0"/>
        <v>250</v>
      </c>
      <c r="F4">
        <v>1463</v>
      </c>
      <c r="G4" s="85">
        <f t="shared" si="1"/>
        <v>5.8520000000000003</v>
      </c>
    </row>
    <row r="5" spans="1:8">
      <c r="A5" s="84">
        <v>37987</v>
      </c>
      <c r="B5">
        <v>366</v>
      </c>
      <c r="C5">
        <v>104</v>
      </c>
      <c r="D5">
        <v>11</v>
      </c>
      <c r="E5">
        <f t="shared" si="0"/>
        <v>251</v>
      </c>
      <c r="F5">
        <v>907</v>
      </c>
      <c r="G5" s="85">
        <f t="shared" si="1"/>
        <v>3.6135458167330676</v>
      </c>
    </row>
    <row r="6" spans="1:8">
      <c r="A6" s="84">
        <v>38353</v>
      </c>
      <c r="B6">
        <v>365</v>
      </c>
      <c r="C6">
        <v>104</v>
      </c>
      <c r="D6">
        <v>11</v>
      </c>
      <c r="E6">
        <f t="shared" si="0"/>
        <v>250</v>
      </c>
      <c r="F6">
        <v>796</v>
      </c>
      <c r="G6" s="85">
        <f t="shared" si="1"/>
        <v>3.1840000000000002</v>
      </c>
    </row>
    <row r="7" spans="1:8">
      <c r="A7" s="84">
        <v>38718</v>
      </c>
      <c r="B7">
        <v>365</v>
      </c>
      <c r="C7">
        <v>104</v>
      </c>
      <c r="D7">
        <v>11</v>
      </c>
      <c r="E7">
        <f t="shared" si="0"/>
        <v>250</v>
      </c>
      <c r="F7">
        <v>847</v>
      </c>
      <c r="G7" s="85">
        <f t="shared" si="1"/>
        <v>3.3879999999999999</v>
      </c>
    </row>
    <row r="8" spans="1:8">
      <c r="A8" s="84">
        <v>39083</v>
      </c>
      <c r="B8">
        <v>365</v>
      </c>
      <c r="C8">
        <v>104</v>
      </c>
      <c r="D8">
        <v>11</v>
      </c>
      <c r="E8">
        <f t="shared" si="0"/>
        <v>250</v>
      </c>
      <c r="F8">
        <v>1281</v>
      </c>
      <c r="G8" s="85">
        <f t="shared" si="1"/>
        <v>5.1239999999999997</v>
      </c>
    </row>
    <row r="9" spans="1:8">
      <c r="A9" s="84">
        <v>39448</v>
      </c>
      <c r="B9">
        <v>366</v>
      </c>
      <c r="C9">
        <v>104</v>
      </c>
      <c r="D9">
        <v>11</v>
      </c>
      <c r="E9">
        <f t="shared" ref="E9:E14" si="2">B9-C9-D9</f>
        <v>251</v>
      </c>
      <c r="F9">
        <v>1518</v>
      </c>
      <c r="G9" s="85">
        <f>F9/E9</f>
        <v>6.047808764940239</v>
      </c>
      <c r="H9" s="353" t="s">
        <v>305</v>
      </c>
    </row>
    <row r="10" spans="1:8">
      <c r="A10" s="84">
        <v>39814</v>
      </c>
      <c r="B10">
        <v>365</v>
      </c>
      <c r="C10" s="286">
        <v>156</v>
      </c>
      <c r="D10" s="286">
        <v>10</v>
      </c>
      <c r="E10" s="286">
        <f t="shared" si="2"/>
        <v>199</v>
      </c>
      <c r="F10">
        <v>1198</v>
      </c>
      <c r="G10" s="85">
        <f t="shared" ref="G10:G13" si="3">F10/E10</f>
        <v>6.0201005025125625</v>
      </c>
    </row>
    <row r="11" spans="1:8">
      <c r="A11" s="84">
        <v>40179</v>
      </c>
      <c r="B11">
        <v>365</v>
      </c>
      <c r="C11">
        <v>156</v>
      </c>
      <c r="D11">
        <v>10</v>
      </c>
      <c r="E11">
        <f t="shared" si="2"/>
        <v>199</v>
      </c>
      <c r="F11">
        <v>1017</v>
      </c>
      <c r="G11" s="85">
        <f t="shared" si="3"/>
        <v>5.1105527638190953</v>
      </c>
    </row>
    <row r="12" spans="1:8">
      <c r="A12" s="84">
        <v>40544</v>
      </c>
      <c r="B12">
        <v>365</v>
      </c>
      <c r="C12" s="287">
        <v>156</v>
      </c>
      <c r="D12">
        <v>10</v>
      </c>
      <c r="E12" s="287">
        <f t="shared" si="2"/>
        <v>199</v>
      </c>
      <c r="F12">
        <v>1214</v>
      </c>
      <c r="G12" s="85">
        <f t="shared" si="3"/>
        <v>6.1005025125628141</v>
      </c>
      <c r="H12" s="353" t="s">
        <v>304</v>
      </c>
    </row>
    <row r="13" spans="1:8">
      <c r="A13" s="84">
        <v>40909</v>
      </c>
      <c r="B13">
        <v>366</v>
      </c>
      <c r="C13">
        <v>104</v>
      </c>
      <c r="D13">
        <v>11</v>
      </c>
      <c r="E13">
        <f t="shared" si="2"/>
        <v>251</v>
      </c>
      <c r="F13">
        <v>1423</v>
      </c>
      <c r="G13" s="85">
        <f t="shared" si="3"/>
        <v>5.6693227091633469</v>
      </c>
    </row>
    <row r="14" spans="1:8">
      <c r="A14" s="84">
        <v>41275</v>
      </c>
      <c r="B14">
        <v>365</v>
      </c>
      <c r="C14">
        <v>104</v>
      </c>
      <c r="D14">
        <v>11</v>
      </c>
      <c r="E14">
        <f t="shared" si="2"/>
        <v>250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N412"/>
  <sheetViews>
    <sheetView workbookViewId="0">
      <pane xSplit="1" ySplit="4" topLeftCell="AX33" activePane="bottomRight" state="frozenSplit"/>
      <selection activeCell="H76" sqref="H76"/>
      <selection pane="topRight" activeCell="H76" sqref="H76"/>
      <selection pane="bottomLeft" activeCell="H76" sqref="H76"/>
      <selection pane="bottomRight" activeCell="BF90" sqref="BF90"/>
    </sheetView>
  </sheetViews>
  <sheetFormatPr defaultColWidth="9.33203125" defaultRowHeight="11.25"/>
  <cols>
    <col min="1" max="1" width="10.83203125" customWidth="1"/>
    <col min="2" max="2" width="1.83203125" customWidth="1"/>
    <col min="3" max="15" width="8.83203125" customWidth="1"/>
    <col min="16" max="16" width="10" customWidth="1"/>
    <col min="17" max="17" width="11.5" customWidth="1"/>
    <col min="18" max="18" width="7.83203125" customWidth="1"/>
    <col min="19" max="19" width="9.6640625" customWidth="1"/>
    <col min="20" max="20" width="7.6640625" style="10" customWidth="1"/>
    <col min="21" max="21" width="12" customWidth="1"/>
    <col min="22" max="22" width="12" style="298" customWidth="1"/>
    <col min="23" max="23" width="15.1640625" customWidth="1"/>
    <col min="24" max="24" width="11.83203125" customWidth="1"/>
    <col min="25" max="25" width="1.83203125" customWidth="1"/>
    <col min="26" max="26" width="14.33203125" customWidth="1"/>
    <col min="27" max="27" width="17.33203125" style="10" customWidth="1"/>
    <col min="28" max="28" width="7.33203125" customWidth="1"/>
    <col min="29" max="29" width="11.33203125" customWidth="1"/>
    <col min="30" max="30" width="14" customWidth="1"/>
    <col min="31" max="31" width="13.5" customWidth="1"/>
    <col min="32" max="32" width="3.33203125" style="10" customWidth="1"/>
    <col min="33" max="33" width="12.5" customWidth="1"/>
    <col min="34" max="34" width="12.6640625" customWidth="1"/>
    <col min="35" max="35" width="12.33203125" customWidth="1"/>
    <col min="36" max="36" width="12.6640625" customWidth="1"/>
    <col min="37" max="37" width="7.6640625" customWidth="1"/>
    <col min="38" max="41" width="11" customWidth="1"/>
    <col min="42" max="43" width="12.1640625" customWidth="1"/>
    <col min="44" max="44" width="11.1640625" style="10" customWidth="1"/>
    <col min="45" max="45" width="11.1640625" customWidth="1"/>
    <col min="46" max="46" width="13.5" customWidth="1"/>
    <col min="47" max="47" width="13.83203125" customWidth="1"/>
    <col min="48" max="48" width="12.33203125" customWidth="1"/>
    <col min="49" max="49" width="10" customWidth="1"/>
    <col min="50" max="50" width="10.1640625" customWidth="1"/>
    <col min="51" max="51" width="14.6640625" customWidth="1"/>
    <col min="52" max="52" width="14.1640625" customWidth="1"/>
    <col min="53" max="53" width="13.83203125" style="10" customWidth="1"/>
    <col min="54" max="54" width="10.1640625" customWidth="1"/>
    <col min="55" max="55" width="12.83203125" customWidth="1"/>
    <col min="56" max="58" width="12.83203125" style="298" customWidth="1"/>
    <col min="59" max="59" width="14.6640625" style="10" customWidth="1"/>
    <col min="60" max="60" width="14.1640625" customWidth="1"/>
    <col min="61" max="61" width="1.83203125" customWidth="1"/>
    <col min="62" max="62" width="11.6640625" customWidth="1"/>
    <col min="63" max="63" width="10" style="10" customWidth="1"/>
    <col min="64" max="64" width="1.83203125" customWidth="1"/>
    <col min="65" max="65" width="10" customWidth="1"/>
    <col min="66" max="66" width="9.6640625" customWidth="1"/>
    <col min="67" max="67" width="12.33203125" customWidth="1"/>
    <col min="68" max="68" width="10.5" customWidth="1"/>
    <col min="69" max="69" width="14" customWidth="1"/>
    <col min="70" max="70" width="12" customWidth="1"/>
    <col min="71" max="71" width="11.33203125" customWidth="1"/>
    <col min="72" max="72" width="8.5" customWidth="1"/>
    <col min="73" max="73" width="11.33203125" customWidth="1"/>
    <col min="74" max="74" width="11.1640625" customWidth="1"/>
    <col min="75" max="75" width="10.6640625" customWidth="1"/>
    <col min="76" max="76" width="9.1640625"/>
    <col min="77" max="77" width="10" customWidth="1"/>
    <col min="78" max="78" width="13" customWidth="1"/>
    <col min="79" max="81" width="10.6640625" customWidth="1"/>
    <col min="82" max="82" width="15" customWidth="1"/>
    <col min="83" max="83" width="11.5" customWidth="1"/>
    <col min="84" max="84" width="10.6640625" customWidth="1"/>
    <col min="85" max="85" width="9.1640625" customWidth="1"/>
    <col min="86" max="86" width="9.33203125" style="10"/>
    <col min="87" max="87" width="11.5" style="10" customWidth="1"/>
    <col min="88" max="88" width="12.1640625" style="10" customWidth="1"/>
    <col min="89" max="89" width="9.33203125" style="10"/>
    <col min="90" max="90" width="11.5" style="10" customWidth="1"/>
    <col min="91" max="91" width="9.33203125" style="10"/>
    <col min="92" max="92" width="10.33203125" style="10" customWidth="1"/>
    <col min="93" max="93" width="14" style="10" customWidth="1"/>
    <col min="94" max="94" width="12" style="10" customWidth="1"/>
    <col min="95" max="96" width="16.6640625" style="10" customWidth="1"/>
    <col min="97" max="97" width="14.33203125" style="10" customWidth="1"/>
    <col min="98" max="98" width="9.33203125" style="10"/>
    <col min="99" max="100" width="12.5" style="10" customWidth="1"/>
    <col min="101" max="101" width="14" style="10" customWidth="1"/>
    <col min="102" max="102" width="9.33203125" style="10"/>
    <col min="103" max="103" width="13.1640625" style="10" customWidth="1"/>
    <col min="104" max="104" width="9.33203125" style="10"/>
    <col min="105" max="105" width="11" style="10" customWidth="1"/>
    <col min="106" max="106" width="12.5" style="10" customWidth="1"/>
    <col min="107" max="107" width="10.5" style="10" customWidth="1"/>
    <col min="108" max="108" width="12" style="10" customWidth="1"/>
    <col min="109" max="109" width="11.83203125" style="10" customWidth="1"/>
    <col min="110" max="110" width="12.6640625" style="10" customWidth="1"/>
    <col min="111" max="111" width="13.6640625" style="10" customWidth="1"/>
    <col min="112" max="16384" width="9.33203125" style="10"/>
  </cols>
  <sheetData>
    <row r="1" spans="1:118" ht="22.5">
      <c r="A1" s="198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18" s="191" customFormat="1" ht="12" customHeight="1">
      <c r="A2" s="194"/>
      <c r="B2" s="194"/>
      <c r="C2" s="370" t="s">
        <v>0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2"/>
      <c r="Y2" s="190"/>
      <c r="Z2" s="373" t="s">
        <v>151</v>
      </c>
      <c r="AA2" s="375"/>
      <c r="AB2" s="375"/>
      <c r="AC2" s="375"/>
      <c r="AD2" s="375"/>
      <c r="AE2" s="374"/>
      <c r="AF2" s="190"/>
      <c r="AG2" s="373" t="s">
        <v>1</v>
      </c>
      <c r="AH2" s="375"/>
      <c r="AI2" s="375"/>
      <c r="AJ2" s="374"/>
      <c r="AK2" s="190"/>
      <c r="AL2" s="373" t="s">
        <v>150</v>
      </c>
      <c r="AM2" s="375"/>
      <c r="AN2" s="375"/>
      <c r="AO2" s="375"/>
      <c r="AP2" s="375"/>
      <c r="AQ2" s="375"/>
      <c r="AR2" s="375"/>
      <c r="AS2" s="375"/>
      <c r="AT2" s="375"/>
      <c r="AU2" s="375"/>
      <c r="AV2" s="374"/>
      <c r="AW2" s="190"/>
      <c r="AX2" s="373" t="s">
        <v>2</v>
      </c>
      <c r="AY2" s="375"/>
      <c r="AZ2" s="375"/>
      <c r="BA2" s="375"/>
      <c r="BB2" s="375"/>
      <c r="BC2" s="375"/>
      <c r="BD2" s="375"/>
      <c r="BE2" s="375"/>
      <c r="BF2" s="375"/>
      <c r="BG2" s="375"/>
      <c r="BH2" s="374"/>
      <c r="BI2" s="190"/>
      <c r="BJ2" s="373" t="s">
        <v>3</v>
      </c>
      <c r="BK2" s="374"/>
      <c r="BL2" s="190"/>
      <c r="BM2" s="373" t="s">
        <v>148</v>
      </c>
      <c r="BN2" s="375"/>
      <c r="BO2" s="374"/>
      <c r="BP2" s="190"/>
      <c r="BQ2" s="370" t="s">
        <v>276</v>
      </c>
      <c r="BR2" s="371"/>
      <c r="BS2" s="371"/>
      <c r="BT2" s="371"/>
      <c r="BU2" s="371"/>
      <c r="BV2" s="371"/>
      <c r="BW2" s="371"/>
      <c r="BX2" s="371"/>
      <c r="BY2" s="371"/>
      <c r="BZ2" s="371"/>
      <c r="CA2" s="371"/>
      <c r="CB2" s="371"/>
      <c r="CC2" s="371"/>
      <c r="CD2" s="371"/>
      <c r="CE2" s="371"/>
      <c r="CF2" s="371"/>
      <c r="CG2" s="371"/>
      <c r="CH2" s="371"/>
      <c r="CI2" s="371"/>
      <c r="CJ2" s="371"/>
      <c r="CK2" s="371"/>
      <c r="CL2" s="371"/>
      <c r="CM2" s="371"/>
      <c r="CN2" s="371"/>
      <c r="CO2" s="371"/>
      <c r="CP2" s="371"/>
      <c r="CQ2" s="371"/>
      <c r="CR2" s="371"/>
      <c r="CS2" s="371"/>
      <c r="CT2" s="371"/>
      <c r="CU2" s="371"/>
      <c r="CV2" s="371"/>
      <c r="CW2" s="371"/>
      <c r="CX2" s="371"/>
      <c r="CY2" s="371"/>
      <c r="CZ2" s="371"/>
      <c r="DA2" s="371"/>
      <c r="DB2" s="371"/>
      <c r="DC2" s="371"/>
      <c r="DD2" s="371"/>
      <c r="DE2" s="371"/>
      <c r="DF2" s="371"/>
      <c r="DG2" s="371"/>
      <c r="DH2" s="371"/>
      <c r="DI2" s="371"/>
      <c r="DJ2" s="371"/>
      <c r="DK2" s="371"/>
      <c r="DL2" s="372"/>
      <c r="DM2" s="190"/>
      <c r="DN2" s="190"/>
    </row>
    <row r="3" spans="1:118" s="192" customFormat="1" ht="57" thickBot="1">
      <c r="A3" s="204" t="s">
        <v>5</v>
      </c>
      <c r="B3" s="195"/>
      <c r="C3" s="199" t="s">
        <v>263</v>
      </c>
      <c r="D3" s="200" t="s">
        <v>264</v>
      </c>
      <c r="E3" s="200" t="s">
        <v>265</v>
      </c>
      <c r="F3" s="200" t="s">
        <v>266</v>
      </c>
      <c r="G3" s="200" t="s">
        <v>267</v>
      </c>
      <c r="H3" s="200" t="s">
        <v>268</v>
      </c>
      <c r="I3" s="200" t="s">
        <v>272</v>
      </c>
      <c r="J3" s="200" t="s">
        <v>269</v>
      </c>
      <c r="K3" s="200" t="s">
        <v>273</v>
      </c>
      <c r="L3" s="200" t="s">
        <v>271</v>
      </c>
      <c r="M3" s="201" t="s">
        <v>261</v>
      </c>
      <c r="N3" s="201" t="s">
        <v>262</v>
      </c>
      <c r="O3" s="200" t="s">
        <v>270</v>
      </c>
      <c r="P3" s="200" t="s">
        <v>6</v>
      </c>
      <c r="Q3" s="200" t="s">
        <v>7</v>
      </c>
      <c r="R3" s="200" t="s">
        <v>8</v>
      </c>
      <c r="S3" s="217" t="s">
        <v>9</v>
      </c>
      <c r="T3" s="200" t="s">
        <v>10</v>
      </c>
      <c r="U3" s="200" t="s">
        <v>189</v>
      </c>
      <c r="V3" s="200" t="s">
        <v>279</v>
      </c>
      <c r="W3" s="200" t="s">
        <v>11</v>
      </c>
      <c r="X3" s="202" t="s">
        <v>12</v>
      </c>
      <c r="Y3" s="193"/>
      <c r="Z3" s="203" t="s">
        <v>170</v>
      </c>
      <c r="AA3" s="204" t="s">
        <v>146</v>
      </c>
      <c r="AB3" s="204"/>
      <c r="AC3" s="203" t="s">
        <v>171</v>
      </c>
      <c r="AD3" s="204" t="s">
        <v>145</v>
      </c>
      <c r="AE3" s="218" t="s">
        <v>147</v>
      </c>
      <c r="AF3" s="193"/>
      <c r="AG3" s="203" t="s">
        <v>13</v>
      </c>
      <c r="AH3" s="204" t="s">
        <v>14</v>
      </c>
      <c r="AI3" s="204" t="s">
        <v>15</v>
      </c>
      <c r="AJ3" s="205" t="s">
        <v>16</v>
      </c>
      <c r="AK3" s="193"/>
      <c r="AL3" s="203" t="s">
        <v>204</v>
      </c>
      <c r="AM3" s="204" t="s">
        <v>159</v>
      </c>
      <c r="AN3" s="218" t="s">
        <v>17</v>
      </c>
      <c r="AO3" s="204" t="s">
        <v>160</v>
      </c>
      <c r="AP3" s="204" t="s">
        <v>161</v>
      </c>
      <c r="AQ3" s="218" t="s">
        <v>18</v>
      </c>
      <c r="AR3" s="204" t="s">
        <v>149</v>
      </c>
      <c r="AS3" s="204" t="s">
        <v>162</v>
      </c>
      <c r="AT3" s="204" t="s">
        <v>163</v>
      </c>
      <c r="AU3" s="204" t="s">
        <v>164</v>
      </c>
      <c r="AV3" s="205" t="s">
        <v>158</v>
      </c>
      <c r="AW3" s="193"/>
      <c r="AX3" s="203" t="s">
        <v>19</v>
      </c>
      <c r="AY3" s="204" t="s">
        <v>20</v>
      </c>
      <c r="AZ3" s="204" t="s">
        <v>21</v>
      </c>
      <c r="BA3" s="204" t="s">
        <v>199</v>
      </c>
      <c r="BB3" s="204" t="s">
        <v>22</v>
      </c>
      <c r="BC3" s="204" t="s">
        <v>23</v>
      </c>
      <c r="BD3" s="299" t="s">
        <v>288</v>
      </c>
      <c r="BE3" s="204" t="s">
        <v>286</v>
      </c>
      <c r="BF3" s="301" t="s">
        <v>287</v>
      </c>
      <c r="BG3" s="204" t="s">
        <v>24</v>
      </c>
      <c r="BH3" s="205" t="s">
        <v>25</v>
      </c>
      <c r="BI3" s="193"/>
      <c r="BJ3" s="203" t="s">
        <v>26</v>
      </c>
      <c r="BK3" s="205" t="s">
        <v>27</v>
      </c>
      <c r="BL3" s="193"/>
      <c r="BM3" s="206" t="s">
        <v>28</v>
      </c>
      <c r="BN3" s="204" t="s">
        <v>29</v>
      </c>
      <c r="BO3" s="207" t="s">
        <v>30</v>
      </c>
      <c r="BP3" s="193"/>
      <c r="BQ3" s="203" t="s">
        <v>31</v>
      </c>
      <c r="BR3" s="204" t="s">
        <v>190</v>
      </c>
      <c r="BS3" s="204" t="s">
        <v>187</v>
      </c>
      <c r="BT3" s="204" t="s">
        <v>223</v>
      </c>
      <c r="BU3" s="204" t="s">
        <v>233</v>
      </c>
      <c r="BV3" s="204" t="s">
        <v>230</v>
      </c>
      <c r="BW3" s="204" t="s">
        <v>247</v>
      </c>
      <c r="BX3" s="204" t="s">
        <v>32</v>
      </c>
      <c r="BY3" s="204" t="s">
        <v>213</v>
      </c>
      <c r="BZ3" s="204" t="s">
        <v>33</v>
      </c>
      <c r="CA3" s="204" t="s">
        <v>34</v>
      </c>
      <c r="CB3" s="204" t="s">
        <v>234</v>
      </c>
      <c r="CC3" s="204" t="s">
        <v>35</v>
      </c>
      <c r="CD3" s="204" t="s">
        <v>36</v>
      </c>
      <c r="CE3" s="204" t="s">
        <v>278</v>
      </c>
      <c r="CF3" s="204" t="s">
        <v>37</v>
      </c>
      <c r="CG3" s="204" t="s">
        <v>226</v>
      </c>
      <c r="CH3" s="204" t="s">
        <v>38</v>
      </c>
      <c r="CI3" s="204" t="s">
        <v>231</v>
      </c>
      <c r="CJ3" s="204" t="s">
        <v>39</v>
      </c>
      <c r="CK3" s="204" t="s">
        <v>40</v>
      </c>
      <c r="CL3" s="204" t="s">
        <v>41</v>
      </c>
      <c r="CM3" s="204" t="s">
        <v>42</v>
      </c>
      <c r="CN3" s="204" t="s">
        <v>248</v>
      </c>
      <c r="CO3" s="204" t="s">
        <v>252</v>
      </c>
      <c r="CP3" s="204" t="s">
        <v>188</v>
      </c>
      <c r="CQ3" s="204" t="s">
        <v>229</v>
      </c>
      <c r="CR3" s="204" t="s">
        <v>225</v>
      </c>
      <c r="CS3" s="204" t="s">
        <v>43</v>
      </c>
      <c r="CT3" s="204" t="s">
        <v>227</v>
      </c>
      <c r="CU3" s="204" t="s">
        <v>232</v>
      </c>
      <c r="CV3" s="204" t="s">
        <v>224</v>
      </c>
      <c r="CW3" s="204" t="s">
        <v>228</v>
      </c>
      <c r="CX3" s="204" t="s">
        <v>44</v>
      </c>
      <c r="CY3" s="204" t="s">
        <v>45</v>
      </c>
      <c r="CZ3" s="204" t="s">
        <v>46</v>
      </c>
      <c r="DA3" s="204" t="s">
        <v>185</v>
      </c>
      <c r="DB3" s="204" t="s">
        <v>277</v>
      </c>
      <c r="DC3" s="204" t="s">
        <v>236</v>
      </c>
      <c r="DD3" s="204" t="s">
        <v>47</v>
      </c>
      <c r="DE3" s="204" t="s">
        <v>219</v>
      </c>
      <c r="DF3" s="204" t="s">
        <v>48</v>
      </c>
      <c r="DG3" s="204" t="s">
        <v>249</v>
      </c>
      <c r="DH3" s="204" t="s">
        <v>235</v>
      </c>
      <c r="DI3" s="204" t="s">
        <v>186</v>
      </c>
      <c r="DJ3" s="204" t="s">
        <v>200</v>
      </c>
      <c r="DK3" s="204" t="s">
        <v>191</v>
      </c>
      <c r="DL3" s="205" t="s">
        <v>49</v>
      </c>
      <c r="DM3" s="204" t="s">
        <v>50</v>
      </c>
      <c r="DN3" s="193"/>
    </row>
    <row r="4" spans="1:118" customFormat="1">
      <c r="A4" s="265"/>
      <c r="V4" s="298"/>
      <c r="BD4" s="298"/>
      <c r="BE4" s="298"/>
      <c r="BF4" s="298"/>
    </row>
    <row r="5" spans="1:118" customFormat="1">
      <c r="V5" s="298"/>
      <c r="BD5" s="298"/>
      <c r="BE5" s="298"/>
      <c r="BF5" s="298"/>
    </row>
    <row r="6" spans="1:118" ht="12" thickBot="1">
      <c r="A6" s="53" t="s">
        <v>123</v>
      </c>
      <c r="B6" s="52"/>
      <c r="C6" s="53">
        <f t="shared" ref="C6" si="0">DSUM(_xlnm.Database,C3,_xlnm.Criteria)</f>
        <v>4608</v>
      </c>
      <c r="D6" s="53">
        <f t="shared" ref="D6:R6" si="1">DSUM(_xlnm.Database,D3,_xlnm.Criteria)</f>
        <v>22702</v>
      </c>
      <c r="E6" s="53">
        <f t="shared" si="1"/>
        <v>2451</v>
      </c>
      <c r="F6" s="53">
        <f t="shared" si="1"/>
        <v>7061</v>
      </c>
      <c r="G6" s="53">
        <f t="shared" si="1"/>
        <v>1980.6661063693837</v>
      </c>
      <c r="H6" s="53">
        <f t="shared" si="1"/>
        <v>1402.1927573820983</v>
      </c>
      <c r="I6" s="53">
        <f t="shared" si="1"/>
        <v>10</v>
      </c>
      <c r="J6" s="53">
        <f t="shared" si="1"/>
        <v>13780.440874914559</v>
      </c>
      <c r="K6" s="53">
        <f t="shared" si="1"/>
        <v>499</v>
      </c>
      <c r="L6" s="53">
        <f t="shared" si="1"/>
        <v>192</v>
      </c>
      <c r="M6" s="53">
        <f t="shared" si="1"/>
        <v>20</v>
      </c>
      <c r="N6" s="53">
        <f t="shared" si="1"/>
        <v>0</v>
      </c>
      <c r="O6" s="53">
        <f t="shared" si="1"/>
        <v>12063</v>
      </c>
      <c r="P6" s="53">
        <f t="shared" si="1"/>
        <v>1017</v>
      </c>
      <c r="Q6" s="53">
        <f t="shared" si="1"/>
        <v>147</v>
      </c>
      <c r="R6" s="53">
        <f t="shared" si="1"/>
        <v>232</v>
      </c>
      <c r="S6" s="55">
        <f>SUM(C6:R6)</f>
        <v>68165.299738666043</v>
      </c>
      <c r="T6" s="53">
        <f t="shared" ref="T6:X6" si="2">DSUM(_xlnm.Database,T3,_xlnm.Criteria)</f>
        <v>1773</v>
      </c>
      <c r="U6" s="53">
        <f t="shared" si="2"/>
        <v>10223.481961372227</v>
      </c>
      <c r="V6" s="53"/>
      <c r="W6" s="53">
        <f t="shared" si="2"/>
        <v>425.01099555563246</v>
      </c>
      <c r="X6" s="53">
        <f t="shared" si="2"/>
        <v>251.03922165568628</v>
      </c>
      <c r="Y6" s="10"/>
      <c r="Z6" s="53" t="e">
        <f t="shared" ref="Z6:AA6" si="3">DSUM(_xlnm.Database,Z3,_xlnm.Criteria)</f>
        <v>#VALUE!</v>
      </c>
      <c r="AA6" s="53">
        <f t="shared" si="3"/>
        <v>553071239.5</v>
      </c>
      <c r="AC6" s="53">
        <f t="shared" ref="AC6:AE6" si="4">DSUM(_xlnm.Database,AC3,_xlnm.Criteria)</f>
        <v>781305462</v>
      </c>
      <c r="AD6" s="53">
        <f t="shared" si="4"/>
        <v>383889140</v>
      </c>
      <c r="AE6" s="53">
        <f t="shared" si="4"/>
        <v>1165194602</v>
      </c>
      <c r="AG6" s="53">
        <f t="shared" ref="AG6:AJ6" si="5">DSUM(_xlnm.Database,AG3,_xlnm.Criteria)</f>
        <v>100943</v>
      </c>
      <c r="AH6" s="53">
        <f t="shared" si="5"/>
        <v>45814</v>
      </c>
      <c r="AI6" s="53">
        <f t="shared" si="5"/>
        <v>183796.5</v>
      </c>
      <c r="AJ6" s="53">
        <f t="shared" si="5"/>
        <v>17969</v>
      </c>
      <c r="AL6" s="53">
        <f t="shared" ref="AL6:AV6" si="6">DSUM(_xlnm.Database,AL3,_xlnm.Criteria)</f>
        <v>2802</v>
      </c>
      <c r="AM6" s="53">
        <f t="shared" si="6"/>
        <v>12627</v>
      </c>
      <c r="AN6" s="53">
        <f t="shared" si="6"/>
        <v>15189</v>
      </c>
      <c r="AO6" s="53">
        <f t="shared" si="6"/>
        <v>8899</v>
      </c>
      <c r="AP6" s="53">
        <f t="shared" si="6"/>
        <v>1195</v>
      </c>
      <c r="AQ6" s="53">
        <f t="shared" si="6"/>
        <v>10094</v>
      </c>
      <c r="AR6" s="53">
        <f t="shared" si="6"/>
        <v>91730</v>
      </c>
      <c r="AS6" s="53">
        <f t="shared" si="6"/>
        <v>30445</v>
      </c>
      <c r="AT6" s="53">
        <f t="shared" si="6"/>
        <v>54625</v>
      </c>
      <c r="AU6" s="53">
        <f t="shared" si="6"/>
        <v>8680</v>
      </c>
      <c r="AV6" s="53">
        <f t="shared" si="6"/>
        <v>107664</v>
      </c>
      <c r="AX6" s="53">
        <f t="shared" ref="AX6:BH6" si="7">DSUM(_xlnm.Database,AX3,_xlnm.Criteria)</f>
        <v>989390.5</v>
      </c>
      <c r="AY6" s="53">
        <f t="shared" si="7"/>
        <v>18718649536</v>
      </c>
      <c r="AZ6" s="53">
        <f t="shared" si="7"/>
        <v>3120764370</v>
      </c>
      <c r="BA6" s="53">
        <f t="shared" si="7"/>
        <v>36417</v>
      </c>
      <c r="BB6" s="53">
        <f t="shared" si="7"/>
        <v>2727</v>
      </c>
      <c r="BC6" s="53">
        <f t="shared" si="7"/>
        <v>1523</v>
      </c>
      <c r="BD6" s="53"/>
      <c r="BE6" s="53"/>
      <c r="BF6" s="53">
        <f t="shared" ref="BF6" si="8">DSUM(_xlnm.Database,BF3,_xlnm.Criteria)</f>
        <v>4619.083333333333</v>
      </c>
      <c r="BG6" s="53">
        <f t="shared" si="7"/>
        <v>1200246364</v>
      </c>
      <c r="BH6" s="53">
        <f t="shared" si="7"/>
        <v>137754</v>
      </c>
      <c r="BI6" s="10"/>
      <c r="BJ6" s="53">
        <f t="shared" ref="BJ6:BK6" si="9">DSUM(_xlnm.Database,BJ3,_xlnm.Criteria)</f>
        <v>810</v>
      </c>
      <c r="BK6" s="53">
        <f t="shared" si="9"/>
        <v>66137</v>
      </c>
      <c r="BL6" s="10"/>
      <c r="BP6" s="10"/>
      <c r="BQ6" s="53">
        <f t="shared" ref="BQ6:CE6" si="10">DSUM(_xlnm.Database,BQ3,_xlnm.Criteria)</f>
        <v>1411</v>
      </c>
      <c r="BR6" s="53">
        <f t="shared" si="10"/>
        <v>1208</v>
      </c>
      <c r="BS6" s="53">
        <f t="shared" si="10"/>
        <v>736</v>
      </c>
      <c r="BT6" s="53">
        <f t="shared" si="10"/>
        <v>15</v>
      </c>
      <c r="BU6" s="53">
        <f t="shared" si="10"/>
        <v>34</v>
      </c>
      <c r="BV6" s="53">
        <f t="shared" si="10"/>
        <v>107</v>
      </c>
      <c r="BW6" s="53">
        <f t="shared" si="10"/>
        <v>27</v>
      </c>
      <c r="BX6" s="53">
        <f t="shared" si="10"/>
        <v>3446</v>
      </c>
      <c r="BY6" s="53">
        <f t="shared" si="10"/>
        <v>322</v>
      </c>
      <c r="BZ6" s="53">
        <f t="shared" si="10"/>
        <v>312</v>
      </c>
      <c r="CA6" s="53">
        <f t="shared" si="10"/>
        <v>434</v>
      </c>
      <c r="CB6" s="53">
        <f t="shared" si="10"/>
        <v>111</v>
      </c>
      <c r="CC6" s="53">
        <f t="shared" si="10"/>
        <v>2579</v>
      </c>
      <c r="CD6" s="53">
        <f t="shared" si="10"/>
        <v>4406</v>
      </c>
      <c r="CE6" s="53">
        <f t="shared" si="10"/>
        <v>31</v>
      </c>
      <c r="CF6" s="53">
        <f t="shared" ref="CF6:DK6" si="11">DSUM(_xlnm.Database,CF3,_xlnm.Criteria)</f>
        <v>475</v>
      </c>
      <c r="CG6" s="53">
        <f t="shared" si="11"/>
        <v>149</v>
      </c>
      <c r="CH6" s="53">
        <f t="shared" si="11"/>
        <v>4112</v>
      </c>
      <c r="CI6" s="53">
        <f t="shared" si="11"/>
        <v>66</v>
      </c>
      <c r="CJ6" s="53">
        <f t="shared" si="11"/>
        <v>787</v>
      </c>
      <c r="CK6" s="53">
        <f t="shared" si="11"/>
        <v>3315</v>
      </c>
      <c r="CL6" s="53">
        <f t="shared" si="11"/>
        <v>716</v>
      </c>
      <c r="CM6" s="53">
        <f t="shared" si="11"/>
        <v>1803</v>
      </c>
      <c r="CN6" s="53">
        <f t="shared" si="11"/>
        <v>22</v>
      </c>
      <c r="CO6" s="53">
        <f t="shared" si="11"/>
        <v>37</v>
      </c>
      <c r="CP6" s="53">
        <f t="shared" si="11"/>
        <v>689</v>
      </c>
      <c r="CQ6" s="53">
        <f t="shared" si="11"/>
        <v>26</v>
      </c>
      <c r="CR6" s="53">
        <f t="shared" si="11"/>
        <v>60</v>
      </c>
      <c r="CS6" s="53">
        <f t="shared" si="11"/>
        <v>3842</v>
      </c>
      <c r="CT6" s="53">
        <f t="shared" si="11"/>
        <v>282</v>
      </c>
      <c r="CU6" s="53">
        <f t="shared" si="11"/>
        <v>36</v>
      </c>
      <c r="CV6" s="53">
        <f t="shared" si="11"/>
        <v>11</v>
      </c>
      <c r="CW6" s="53">
        <f t="shared" si="11"/>
        <v>10</v>
      </c>
      <c r="CX6" s="53">
        <f t="shared" si="11"/>
        <v>1513</v>
      </c>
      <c r="CY6" s="53">
        <f t="shared" si="11"/>
        <v>560</v>
      </c>
      <c r="CZ6" s="53">
        <f t="shared" si="11"/>
        <v>592</v>
      </c>
      <c r="DA6" s="53">
        <f t="shared" si="11"/>
        <v>295</v>
      </c>
      <c r="DB6" s="53">
        <f t="shared" si="11"/>
        <v>19</v>
      </c>
      <c r="DC6" s="53">
        <f t="shared" si="11"/>
        <v>30</v>
      </c>
      <c r="DD6" s="53">
        <f t="shared" si="11"/>
        <v>1701</v>
      </c>
      <c r="DE6" s="53">
        <f t="shared" si="11"/>
        <v>74</v>
      </c>
      <c r="DF6" s="53">
        <f t="shared" si="11"/>
        <v>1015</v>
      </c>
      <c r="DG6" s="53">
        <f t="shared" si="11"/>
        <v>26</v>
      </c>
      <c r="DH6" s="53">
        <f t="shared" si="11"/>
        <v>9</v>
      </c>
      <c r="DI6" s="53">
        <f t="shared" si="11"/>
        <v>1015</v>
      </c>
      <c r="DJ6" s="53">
        <f t="shared" si="11"/>
        <v>907</v>
      </c>
      <c r="DK6" s="53">
        <f t="shared" si="11"/>
        <v>214</v>
      </c>
      <c r="DL6" s="53">
        <f>SUM(BQ6:DK6)</f>
        <v>39587</v>
      </c>
    </row>
    <row r="7" spans="1:118" ht="12" thickTop="1">
      <c r="A7" s="15" t="s">
        <v>131</v>
      </c>
      <c r="B7" s="39"/>
      <c r="C7" s="24">
        <f t="shared" ref="C7" si="12">IF(ISERROR(ROUND(DAVERAGE(_xlnm.Database,C3,_xlnm.Criteria),2)),0,ROUND(DAVERAGE(_xlnm.Database,C3,_xlnm.Criteria),2))</f>
        <v>6.7</v>
      </c>
      <c r="D7" s="24">
        <f t="shared" ref="D7:R7" si="13">IF(ISERROR(ROUND(DAVERAGE(_xlnm.Database,D3,_xlnm.Criteria),2)),0,ROUND(DAVERAGE(_xlnm.Database,D3,_xlnm.Criteria),2))</f>
        <v>33.58</v>
      </c>
      <c r="E7" s="24">
        <f t="shared" si="13"/>
        <v>3.63</v>
      </c>
      <c r="F7" s="24">
        <f t="shared" si="13"/>
        <v>10.26</v>
      </c>
      <c r="G7" s="24">
        <f t="shared" si="13"/>
        <v>2.88</v>
      </c>
      <c r="H7" s="24">
        <f t="shared" si="13"/>
        <v>2.04</v>
      </c>
      <c r="I7" s="24">
        <f t="shared" si="13"/>
        <v>0.01</v>
      </c>
      <c r="J7" s="24">
        <f t="shared" si="13"/>
        <v>20.36</v>
      </c>
      <c r="K7" s="24">
        <f t="shared" si="13"/>
        <v>0.74</v>
      </c>
      <c r="L7" s="24">
        <f t="shared" si="13"/>
        <v>0.28000000000000003</v>
      </c>
      <c r="M7" s="24">
        <f t="shared" si="13"/>
        <v>0.05</v>
      </c>
      <c r="N7" s="24">
        <f t="shared" si="13"/>
        <v>0</v>
      </c>
      <c r="O7" s="24">
        <f t="shared" si="13"/>
        <v>17.84</v>
      </c>
      <c r="P7" s="24">
        <f t="shared" si="13"/>
        <v>1.5</v>
      </c>
      <c r="Q7" s="24">
        <f t="shared" si="13"/>
        <v>0.22</v>
      </c>
      <c r="R7" s="24">
        <f t="shared" si="13"/>
        <v>0.34</v>
      </c>
      <c r="S7" s="31">
        <f>SUM(C7:R7)</f>
        <v>100.43</v>
      </c>
      <c r="T7" s="24">
        <f t="shared" ref="T7:X7" si="14">IF(ISERROR(ROUND(DAVERAGE(_xlnm.Database,T3,_xlnm.Criteria),2)),0,ROUND(DAVERAGE(_xlnm.Database,T3,_xlnm.Criteria),2))</f>
        <v>6.62</v>
      </c>
      <c r="U7" s="24">
        <f t="shared" si="14"/>
        <v>22.67</v>
      </c>
      <c r="V7" s="24"/>
      <c r="W7" s="24">
        <f t="shared" si="14"/>
        <v>0.78</v>
      </c>
      <c r="X7" s="24">
        <f t="shared" si="14"/>
        <v>0.47</v>
      </c>
      <c r="Y7" s="10"/>
      <c r="Z7" s="24">
        <f t="shared" ref="Z7:AA7" si="15">IF(ISERROR(ROUND(DAVERAGE(_xlnm.Database,Z3,_xlnm.Criteria),2)),0,ROUND(DAVERAGE(_xlnm.Database,Z3,_xlnm.Criteria),2))</f>
        <v>0</v>
      </c>
      <c r="AA7" s="24">
        <f t="shared" si="15"/>
        <v>1795685.84</v>
      </c>
      <c r="AC7" s="24">
        <f t="shared" ref="AC7:AE7" si="16">IF(ISERROR(ROUND(DAVERAGE(_xlnm.Database,AC3,_xlnm.Criteria),2)),0,ROUND(DAVERAGE(_xlnm.Database,AC3,_xlnm.Criteria),2))</f>
        <v>1614267.48</v>
      </c>
      <c r="AD7" s="24">
        <f t="shared" si="16"/>
        <v>1900441.29</v>
      </c>
      <c r="AE7" s="24">
        <f t="shared" si="16"/>
        <v>2407426.86</v>
      </c>
      <c r="AG7" s="24">
        <f t="shared" ref="AG7:AJ7" si="17">IF(ISERROR(ROUND(DAVERAGE(_xlnm.Database,AG3,_xlnm.Criteria),2)),0,ROUND(DAVERAGE(_xlnm.Database,AG3,_xlnm.Criteria),2))</f>
        <v>152.02000000000001</v>
      </c>
      <c r="AH7" s="24">
        <f t="shared" si="17"/>
        <v>69</v>
      </c>
      <c r="AI7" s="24">
        <f t="shared" si="17"/>
        <v>252.47</v>
      </c>
      <c r="AJ7" s="24">
        <f t="shared" si="17"/>
        <v>42.38</v>
      </c>
      <c r="AL7" s="24">
        <f t="shared" ref="AL7:AV7" si="18">IF(ISERROR(ROUND(DAVERAGE(_xlnm.Database,AL3,_xlnm.Criteria),2)),0,ROUND(DAVERAGE(_xlnm.Database,AL3,_xlnm.Criteria),2))</f>
        <v>21.72</v>
      </c>
      <c r="AM7" s="24">
        <f t="shared" si="18"/>
        <v>97.88</v>
      </c>
      <c r="AN7" s="24">
        <f t="shared" si="18"/>
        <v>119.6</v>
      </c>
      <c r="AO7" s="24">
        <f t="shared" si="18"/>
        <v>143.53</v>
      </c>
      <c r="AP7" s="24">
        <f t="shared" si="18"/>
        <v>19.27</v>
      </c>
      <c r="AQ7" s="24">
        <f t="shared" si="18"/>
        <v>162.81</v>
      </c>
      <c r="AR7" s="24">
        <f t="shared" si="18"/>
        <v>253.4</v>
      </c>
      <c r="AS7" s="24">
        <f t="shared" si="18"/>
        <v>116.2</v>
      </c>
      <c r="AT7" s="24">
        <f t="shared" si="18"/>
        <v>208.49</v>
      </c>
      <c r="AU7" s="24">
        <f t="shared" si="18"/>
        <v>33.26</v>
      </c>
      <c r="AV7" s="24">
        <f t="shared" si="18"/>
        <v>410.93</v>
      </c>
      <c r="AX7" s="24">
        <f t="shared" ref="AX7:BH7" si="19">IF(ISERROR(ROUND(DAVERAGE(_xlnm.Database,AX3,_xlnm.Criteria),2)),0,ROUND(DAVERAGE(_xlnm.Database,AX3,_xlnm.Criteria),2))</f>
        <v>2953.4</v>
      </c>
      <c r="AY7" s="24">
        <f t="shared" si="19"/>
        <v>71718963.739999995</v>
      </c>
      <c r="AZ7" s="24">
        <f t="shared" si="19"/>
        <v>24005879.77</v>
      </c>
      <c r="BA7" s="24">
        <f t="shared" si="19"/>
        <v>124.72</v>
      </c>
      <c r="BB7" s="24">
        <f t="shared" si="19"/>
        <v>9.34</v>
      </c>
      <c r="BC7" s="24">
        <f t="shared" si="19"/>
        <v>5.23</v>
      </c>
      <c r="BD7" s="24"/>
      <c r="BE7" s="24"/>
      <c r="BF7" s="24">
        <f t="shared" ref="BF7" si="20">IF(ISERROR(ROUND(DAVERAGE(_xlnm.Database,BF3,_xlnm.Criteria),2)),0,ROUND(DAVERAGE(_xlnm.Database,BF3,_xlnm.Criteria),2))</f>
        <v>27.99</v>
      </c>
      <c r="BG7" s="24">
        <f t="shared" si="19"/>
        <v>4598645.07</v>
      </c>
      <c r="BH7" s="24">
        <f t="shared" si="19"/>
        <v>2152.41</v>
      </c>
      <c r="BI7" s="10"/>
      <c r="BJ7" s="24">
        <f t="shared" ref="BJ7:BK7" si="21">IF(ISERROR(ROUND(DAVERAGE(_xlnm.Database,BJ3,_xlnm.Criteria),2)),0,ROUND(DAVERAGE(_xlnm.Database,BJ3,_xlnm.Criteria),2))</f>
        <v>15.28</v>
      </c>
      <c r="BK7" s="24">
        <f t="shared" si="21"/>
        <v>263.49</v>
      </c>
      <c r="BL7" s="10"/>
      <c r="BP7" s="10"/>
      <c r="BQ7" s="24">
        <f t="shared" ref="BQ7:CE7" si="22">IF(ISERROR(ROUND(DAVERAGE(_xlnm.Database,BQ3,_xlnm.Criteria),2)),0,ROUND(DAVERAGE(_xlnm.Database,BQ3,_xlnm.Criteria),2))</f>
        <v>3.56</v>
      </c>
      <c r="BR7" s="24">
        <f t="shared" si="22"/>
        <v>3.09</v>
      </c>
      <c r="BS7" s="24">
        <f t="shared" si="22"/>
        <v>2.62</v>
      </c>
      <c r="BT7" s="24">
        <f t="shared" si="22"/>
        <v>0.1</v>
      </c>
      <c r="BU7" s="24">
        <f t="shared" si="22"/>
        <v>0.23</v>
      </c>
      <c r="BV7" s="24">
        <f t="shared" si="22"/>
        <v>0.68</v>
      </c>
      <c r="BW7" s="24">
        <f t="shared" si="22"/>
        <v>0.18</v>
      </c>
      <c r="BX7" s="24">
        <f t="shared" si="22"/>
        <v>8.1300000000000008</v>
      </c>
      <c r="BY7" s="24">
        <f t="shared" si="22"/>
        <v>1.1399999999999999</v>
      </c>
      <c r="BZ7" s="24">
        <f t="shared" si="22"/>
        <v>0.87</v>
      </c>
      <c r="CA7" s="24">
        <f t="shared" si="22"/>
        <v>1.1599999999999999</v>
      </c>
      <c r="CB7" s="24">
        <f t="shared" si="22"/>
        <v>0.73</v>
      </c>
      <c r="CC7" s="24">
        <f t="shared" si="22"/>
        <v>6.37</v>
      </c>
      <c r="CD7" s="24">
        <f t="shared" si="22"/>
        <v>10.49</v>
      </c>
      <c r="CE7" s="24">
        <f t="shared" si="22"/>
        <v>0.21</v>
      </c>
      <c r="CF7" s="24">
        <f t="shared" ref="CF7:DK7" si="23">IF(ISERROR(ROUND(DAVERAGE(_xlnm.Database,CF3,_xlnm.Criteria),2)),0,ROUND(DAVERAGE(_xlnm.Database,CF3,_xlnm.Criteria),2))</f>
        <v>1.29</v>
      </c>
      <c r="CG7" s="24">
        <f t="shared" si="23"/>
        <v>0.85</v>
      </c>
      <c r="CH7" s="24">
        <f t="shared" si="23"/>
        <v>9.77</v>
      </c>
      <c r="CI7" s="24">
        <f t="shared" si="23"/>
        <v>0.44</v>
      </c>
      <c r="CJ7" s="24">
        <f t="shared" si="23"/>
        <v>2.13</v>
      </c>
      <c r="CK7" s="24">
        <f t="shared" si="23"/>
        <v>8.07</v>
      </c>
      <c r="CL7" s="24">
        <f t="shared" si="23"/>
        <v>2</v>
      </c>
      <c r="CM7" s="24">
        <f t="shared" si="23"/>
        <v>4.32</v>
      </c>
      <c r="CN7" s="24">
        <f t="shared" si="23"/>
        <v>0.15</v>
      </c>
      <c r="CO7" s="24">
        <f t="shared" si="23"/>
        <v>0.27</v>
      </c>
      <c r="CP7" s="24">
        <f t="shared" si="23"/>
        <v>1.79</v>
      </c>
      <c r="CQ7" s="24">
        <f t="shared" si="23"/>
        <v>0.17</v>
      </c>
      <c r="CR7" s="24">
        <f t="shared" si="23"/>
        <v>0.38</v>
      </c>
      <c r="CS7" s="24">
        <f t="shared" si="23"/>
        <v>9.3000000000000007</v>
      </c>
      <c r="CT7" s="24">
        <f t="shared" si="23"/>
        <v>1.81</v>
      </c>
      <c r="CU7" s="24">
        <f t="shared" si="23"/>
        <v>0.24</v>
      </c>
      <c r="CV7" s="24">
        <f t="shared" si="23"/>
        <v>7.0000000000000007E-2</v>
      </c>
      <c r="CW7" s="24">
        <f t="shared" si="23"/>
        <v>7.0000000000000007E-2</v>
      </c>
      <c r="CX7" s="24">
        <f t="shared" si="23"/>
        <v>3.71</v>
      </c>
      <c r="CY7" s="24">
        <f t="shared" si="23"/>
        <v>1.47</v>
      </c>
      <c r="CZ7" s="24">
        <f t="shared" si="23"/>
        <v>1.56</v>
      </c>
      <c r="DA7" s="24">
        <f t="shared" si="23"/>
        <v>0.79</v>
      </c>
      <c r="DB7" s="24">
        <f t="shared" si="23"/>
        <v>0.13</v>
      </c>
      <c r="DC7" s="24">
        <f t="shared" si="23"/>
        <v>0.2</v>
      </c>
      <c r="DD7" s="24">
        <f t="shared" si="23"/>
        <v>4.37</v>
      </c>
      <c r="DE7" s="24">
        <f t="shared" si="23"/>
        <v>0.41</v>
      </c>
      <c r="DF7" s="24">
        <f t="shared" si="23"/>
        <v>2.6</v>
      </c>
      <c r="DG7" s="24">
        <f t="shared" si="23"/>
        <v>0.17</v>
      </c>
      <c r="DH7" s="24">
        <f t="shared" si="23"/>
        <v>0.06</v>
      </c>
      <c r="DI7" s="24">
        <f t="shared" si="23"/>
        <v>2.54</v>
      </c>
      <c r="DJ7" s="24">
        <f t="shared" si="23"/>
        <v>2.5299999999999998</v>
      </c>
      <c r="DK7" s="24">
        <f t="shared" si="23"/>
        <v>0.61</v>
      </c>
      <c r="DL7" s="24">
        <f>SUM(BQ7:DK7)</f>
        <v>103.83</v>
      </c>
    </row>
    <row r="8" spans="1:118" customFormat="1">
      <c r="V8" s="298"/>
      <c r="BD8" s="298"/>
      <c r="BE8" s="298"/>
      <c r="BF8" s="298"/>
    </row>
    <row r="9" spans="1:118">
      <c r="A9" s="1"/>
      <c r="U9" s="10"/>
      <c r="V9" s="10"/>
      <c r="W9" s="10"/>
      <c r="X9" s="10"/>
      <c r="Y9" s="10"/>
      <c r="AA9"/>
      <c r="AE9" s="10"/>
      <c r="AF9"/>
      <c r="AJ9" s="10"/>
      <c r="AR9"/>
      <c r="AV9" s="10"/>
      <c r="BA9"/>
      <c r="BG9"/>
      <c r="BH9" s="10"/>
      <c r="BI9" s="10"/>
      <c r="BK9"/>
      <c r="BL9" s="10"/>
      <c r="BP9" s="10"/>
      <c r="CH9"/>
      <c r="CI9"/>
      <c r="CJ9"/>
      <c r="CK9"/>
      <c r="CL9"/>
    </row>
    <row r="10" spans="1:118">
      <c r="A10" s="1"/>
      <c r="U10" s="10"/>
      <c r="V10" s="10"/>
      <c r="W10" s="10"/>
      <c r="X10" s="10"/>
      <c r="Y10" s="10"/>
      <c r="AA10"/>
      <c r="AE10" s="10"/>
      <c r="AF10"/>
      <c r="AJ10" s="10"/>
      <c r="AR10"/>
      <c r="AV10" s="10"/>
      <c r="BA10"/>
      <c r="BG10"/>
      <c r="BH10" s="10"/>
      <c r="BI10" s="10"/>
      <c r="BK10"/>
      <c r="BL10" s="10"/>
      <c r="BP10" s="10"/>
      <c r="CH10"/>
      <c r="CI10"/>
      <c r="CJ10"/>
      <c r="CK10"/>
      <c r="CL10"/>
    </row>
    <row r="11" spans="1:118">
      <c r="A11" s="1"/>
      <c r="U11" s="10"/>
      <c r="V11" s="10"/>
      <c r="W11" s="10"/>
      <c r="X11" s="10"/>
      <c r="Y11" s="10"/>
      <c r="AA11"/>
      <c r="AE11" s="10"/>
      <c r="AF11"/>
      <c r="AJ11" s="10"/>
      <c r="AR11"/>
      <c r="AV11" s="10"/>
      <c r="BA11"/>
      <c r="BG11"/>
      <c r="BH11" s="10"/>
      <c r="BI11" s="10"/>
      <c r="BK11"/>
      <c r="BL11" s="10"/>
      <c r="BP11" s="10"/>
      <c r="CH11"/>
      <c r="CI11"/>
      <c r="CJ11"/>
      <c r="CK11"/>
      <c r="CL11"/>
    </row>
    <row r="12" spans="1:118" ht="22.5">
      <c r="A12" s="377" t="s">
        <v>289</v>
      </c>
      <c r="U12" s="10"/>
      <c r="V12" s="10"/>
      <c r="W12" s="10"/>
      <c r="X12" s="10"/>
      <c r="Y12" s="10"/>
      <c r="AA12"/>
      <c r="AE12" s="10"/>
      <c r="AF12"/>
      <c r="AJ12" s="10"/>
      <c r="AR12"/>
      <c r="AV12" s="10"/>
      <c r="BA12"/>
      <c r="BG12"/>
      <c r="BH12" s="10"/>
      <c r="BI12" s="10"/>
      <c r="BK12"/>
      <c r="BL12" s="10"/>
      <c r="BM12" s="77" t="str">
        <f>$BM$3</f>
        <v>Bulletin Fiscal Year</v>
      </c>
      <c r="BP12" s="10"/>
      <c r="CH12"/>
      <c r="CI12"/>
      <c r="CJ12"/>
      <c r="CK12"/>
      <c r="CL12"/>
    </row>
    <row r="13" spans="1:118">
      <c r="A13" s="378"/>
      <c r="U13" s="10"/>
      <c r="V13" s="10"/>
      <c r="W13" s="10"/>
      <c r="X13" s="10"/>
      <c r="Y13" s="10"/>
      <c r="AA13"/>
      <c r="AE13" s="10"/>
      <c r="AF13"/>
      <c r="AJ13" s="10"/>
      <c r="AR13"/>
      <c r="AV13" s="10"/>
      <c r="BA13"/>
      <c r="BG13"/>
      <c r="BH13" s="10"/>
      <c r="BI13" s="10"/>
      <c r="BK13"/>
      <c r="BL13" s="10"/>
      <c r="BM13" s="78">
        <v>1988</v>
      </c>
      <c r="BP13" s="10"/>
      <c r="CH13"/>
      <c r="CI13"/>
      <c r="CJ13"/>
      <c r="CK13"/>
      <c r="CL13"/>
    </row>
    <row r="14" spans="1:118">
      <c r="A14" s="378"/>
      <c r="U14" s="10"/>
      <c r="V14" s="10"/>
      <c r="W14" s="10"/>
      <c r="X14" s="10"/>
      <c r="Y14" s="10"/>
      <c r="AA14"/>
      <c r="AE14" s="10"/>
      <c r="AF14"/>
      <c r="AJ14" s="10"/>
      <c r="AR14"/>
      <c r="AV14" s="10"/>
      <c r="BA14"/>
      <c r="BG14"/>
      <c r="BH14" s="10"/>
      <c r="BI14" s="10"/>
      <c r="BK14"/>
      <c r="BL14" s="10"/>
      <c r="BP14" s="10"/>
      <c r="CH14"/>
      <c r="CI14"/>
      <c r="CJ14"/>
      <c r="CK14"/>
      <c r="CL14"/>
    </row>
    <row r="15" spans="1:118" ht="22.5">
      <c r="A15" s="378"/>
      <c r="U15" s="10"/>
      <c r="V15" s="10"/>
      <c r="W15" s="10"/>
      <c r="X15" s="10"/>
      <c r="Y15" s="10"/>
      <c r="AA15"/>
      <c r="AE15" s="10"/>
      <c r="AF15"/>
      <c r="AJ15" s="10"/>
      <c r="AR15"/>
      <c r="AV15" s="10"/>
      <c r="BA15"/>
      <c r="BG15"/>
      <c r="BH15" s="10"/>
      <c r="BI15" s="10"/>
      <c r="BK15"/>
      <c r="BL15" s="10"/>
      <c r="BM15" s="77" t="str">
        <f>$BM$3</f>
        <v>Bulletin Fiscal Year</v>
      </c>
      <c r="BP15" s="10"/>
      <c r="CH15"/>
      <c r="CI15"/>
      <c r="CJ15"/>
      <c r="CK15"/>
      <c r="CL15"/>
    </row>
    <row r="16" spans="1:118">
      <c r="A16" s="378"/>
      <c r="U16" s="10"/>
      <c r="V16" s="10"/>
      <c r="W16" s="10"/>
      <c r="X16" s="10"/>
      <c r="Y16" s="10"/>
      <c r="AA16"/>
      <c r="AE16" s="10"/>
      <c r="AF16"/>
      <c r="AJ16" s="10"/>
      <c r="AR16"/>
      <c r="AV16" s="10"/>
      <c r="BA16"/>
      <c r="BG16"/>
      <c r="BH16" s="10"/>
      <c r="BI16" s="10"/>
      <c r="BK16"/>
      <c r="BL16" s="10"/>
      <c r="BM16" s="78">
        <v>1989</v>
      </c>
      <c r="BP16" s="10"/>
      <c r="CH16"/>
      <c r="CI16"/>
      <c r="CJ16"/>
      <c r="CK16"/>
      <c r="CL16"/>
    </row>
    <row r="17" spans="1:90">
      <c r="A17" s="378"/>
      <c r="U17" s="10"/>
      <c r="V17" s="10"/>
      <c r="W17" s="10"/>
      <c r="X17" s="10"/>
      <c r="Y17" s="10"/>
      <c r="AA17"/>
      <c r="AE17" s="10"/>
      <c r="AF17"/>
      <c r="AJ17" s="10"/>
      <c r="AR17"/>
      <c r="AV17" s="10"/>
      <c r="BA17"/>
      <c r="BG17"/>
      <c r="BH17" s="10"/>
      <c r="BI17" s="10"/>
      <c r="BK17"/>
      <c r="BL17" s="10"/>
      <c r="BM17" s="76"/>
      <c r="BP17" s="10"/>
      <c r="CH17"/>
      <c r="CI17"/>
      <c r="CJ17"/>
      <c r="CK17"/>
      <c r="CL17"/>
    </row>
    <row r="18" spans="1:90" ht="22.5">
      <c r="A18" s="378"/>
      <c r="U18" s="10"/>
      <c r="V18" s="10"/>
      <c r="W18" s="10"/>
      <c r="X18" s="10"/>
      <c r="Y18" s="10"/>
      <c r="AA18"/>
      <c r="AE18" s="10"/>
      <c r="AF18"/>
      <c r="AJ18" s="10"/>
      <c r="AR18"/>
      <c r="AV18" s="10"/>
      <c r="BA18"/>
      <c r="BG18"/>
      <c r="BH18" s="10"/>
      <c r="BI18" s="10"/>
      <c r="BK18"/>
      <c r="BL18" s="10"/>
      <c r="BM18" s="77" t="str">
        <f>$BM$3</f>
        <v>Bulletin Fiscal Year</v>
      </c>
      <c r="BP18" s="10"/>
      <c r="CH18"/>
      <c r="CI18"/>
      <c r="CJ18"/>
      <c r="CK18"/>
      <c r="CL18"/>
    </row>
    <row r="19" spans="1:90">
      <c r="A19" s="378"/>
      <c r="U19" s="10"/>
      <c r="V19" s="10"/>
      <c r="W19" s="10"/>
      <c r="X19" s="10"/>
      <c r="Y19" s="10"/>
      <c r="AA19"/>
      <c r="AE19" s="10"/>
      <c r="AF19"/>
      <c r="AJ19" s="10"/>
      <c r="AR19"/>
      <c r="AV19" s="10"/>
      <c r="BA19"/>
      <c r="BG19"/>
      <c r="BH19" s="10"/>
      <c r="BI19" s="10"/>
      <c r="BK19"/>
      <c r="BL19" s="10"/>
      <c r="BM19" s="78">
        <v>1990</v>
      </c>
      <c r="BP19" s="10"/>
      <c r="CH19"/>
      <c r="CI19"/>
      <c r="CJ19"/>
      <c r="CK19"/>
      <c r="CL19"/>
    </row>
    <row r="20" spans="1:90">
      <c r="A20" s="378"/>
      <c r="U20" s="10"/>
      <c r="V20" s="10"/>
      <c r="W20" s="10"/>
      <c r="X20" s="10"/>
      <c r="Y20" s="10"/>
      <c r="AA20"/>
      <c r="AE20" s="10"/>
      <c r="AF20"/>
      <c r="AJ20" s="10"/>
      <c r="AR20"/>
      <c r="AV20" s="10"/>
      <c r="BA20"/>
      <c r="BG20"/>
      <c r="BH20" s="10"/>
      <c r="BI20" s="10"/>
      <c r="BK20"/>
      <c r="BL20" s="10"/>
      <c r="BM20" s="7"/>
      <c r="BP20" s="10"/>
      <c r="CH20"/>
      <c r="CI20"/>
      <c r="CJ20"/>
      <c r="CK20"/>
      <c r="CL20"/>
    </row>
    <row r="21" spans="1:90" ht="22.5">
      <c r="A21" s="379"/>
      <c r="U21" s="10"/>
      <c r="V21" s="10"/>
      <c r="W21" s="10"/>
      <c r="X21" s="10"/>
      <c r="Y21" s="10"/>
      <c r="AA21"/>
      <c r="AE21" s="10"/>
      <c r="AF21"/>
      <c r="AJ21" s="10"/>
      <c r="AR21"/>
      <c r="AV21" s="10"/>
      <c r="BA21"/>
      <c r="BG21"/>
      <c r="BH21" s="10"/>
      <c r="BI21" s="10"/>
      <c r="BK21"/>
      <c r="BL21" s="10"/>
      <c r="BM21" s="77" t="str">
        <f>$BM$3</f>
        <v>Bulletin Fiscal Year</v>
      </c>
      <c r="BP21" s="10"/>
      <c r="CH21"/>
      <c r="CI21"/>
      <c r="CJ21"/>
      <c r="CK21"/>
      <c r="CL21"/>
    </row>
    <row r="22" spans="1:90">
      <c r="A22" s="1"/>
      <c r="U22" s="10"/>
      <c r="V22" s="10"/>
      <c r="W22" s="10"/>
      <c r="X22" s="10"/>
      <c r="Y22" s="10"/>
      <c r="AA22"/>
      <c r="AE22" s="10"/>
      <c r="AF22"/>
      <c r="AJ22" s="10"/>
      <c r="AR22"/>
      <c r="AV22" s="10"/>
      <c r="BA22"/>
      <c r="BG22"/>
      <c r="BH22" s="10"/>
      <c r="BI22" s="10"/>
      <c r="BK22"/>
      <c r="BL22" s="10"/>
      <c r="BM22" s="78">
        <v>1991</v>
      </c>
      <c r="BP22" s="10"/>
      <c r="CH22"/>
      <c r="CI22"/>
      <c r="CJ22"/>
      <c r="CK22"/>
      <c r="CL22"/>
    </row>
    <row r="23" spans="1:90">
      <c r="A23" s="1"/>
      <c r="U23" s="10"/>
      <c r="V23" s="10"/>
      <c r="W23" s="10"/>
      <c r="X23" s="10"/>
      <c r="Y23" s="10"/>
      <c r="AA23"/>
      <c r="AE23" s="10"/>
      <c r="AF23"/>
      <c r="AJ23" s="10"/>
      <c r="AR23"/>
      <c r="AV23" s="10"/>
      <c r="BA23"/>
      <c r="BG23"/>
      <c r="BH23" s="10"/>
      <c r="BI23" s="10"/>
      <c r="BK23"/>
      <c r="BL23" s="10"/>
      <c r="BP23" s="10"/>
      <c r="CH23"/>
      <c r="CI23"/>
      <c r="CJ23"/>
      <c r="CK23"/>
      <c r="CL23"/>
    </row>
    <row r="24" spans="1:90" ht="22.5">
      <c r="A24" s="1"/>
      <c r="U24" s="10"/>
      <c r="V24" s="10"/>
      <c r="W24" s="10"/>
      <c r="X24" s="10"/>
      <c r="Y24" s="10"/>
      <c r="AA24"/>
      <c r="AE24" s="10"/>
      <c r="AF24"/>
      <c r="AJ24" s="10"/>
      <c r="AR24"/>
      <c r="AV24" s="10"/>
      <c r="BA24"/>
      <c r="BG24"/>
      <c r="BH24" s="10"/>
      <c r="BI24" s="10"/>
      <c r="BK24"/>
      <c r="BL24" s="10"/>
      <c r="BM24" s="77" t="str">
        <f>$BM$3</f>
        <v>Bulletin Fiscal Year</v>
      </c>
      <c r="BP24" s="10"/>
      <c r="CH24"/>
      <c r="CI24"/>
      <c r="CJ24"/>
      <c r="CK24"/>
      <c r="CL24"/>
    </row>
    <row r="25" spans="1:90">
      <c r="A25" s="1"/>
      <c r="U25" s="10"/>
      <c r="V25" s="10"/>
      <c r="W25" s="10"/>
      <c r="X25" s="10"/>
      <c r="Y25" s="10"/>
      <c r="AA25"/>
      <c r="AE25" s="10"/>
      <c r="AF25"/>
      <c r="AJ25" s="10"/>
      <c r="AR25"/>
      <c r="AV25" s="10"/>
      <c r="BA25"/>
      <c r="BG25"/>
      <c r="BH25" s="10"/>
      <c r="BI25" s="10"/>
      <c r="BK25"/>
      <c r="BL25" s="10"/>
      <c r="BM25" s="78">
        <v>1992</v>
      </c>
      <c r="BP25" s="10"/>
      <c r="CH25"/>
      <c r="CI25"/>
      <c r="CJ25"/>
      <c r="CK25"/>
      <c r="CL25"/>
    </row>
    <row r="26" spans="1:90">
      <c r="U26" s="10"/>
      <c r="V26" s="10"/>
      <c r="W26" s="10"/>
      <c r="X26" s="10"/>
      <c r="Y26" s="10"/>
      <c r="AA26"/>
      <c r="AE26" s="10"/>
      <c r="AF26"/>
      <c r="AJ26" s="10"/>
      <c r="AR26"/>
      <c r="AV26" s="10"/>
      <c r="BA26"/>
      <c r="BG26"/>
      <c r="BH26" s="10"/>
      <c r="BI26" s="10"/>
      <c r="BK26"/>
      <c r="BL26" s="10"/>
      <c r="BP26" s="10"/>
      <c r="CH26"/>
      <c r="CI26"/>
      <c r="CJ26"/>
      <c r="CK26"/>
      <c r="CL26"/>
    </row>
    <row r="27" spans="1:90" ht="22.5">
      <c r="U27" s="10"/>
      <c r="V27" s="10"/>
      <c r="W27" s="10"/>
      <c r="X27" s="10"/>
      <c r="Y27" s="10"/>
      <c r="AA27"/>
      <c r="AE27" s="10"/>
      <c r="AF27"/>
      <c r="AJ27" s="10"/>
      <c r="AR27"/>
      <c r="AV27" s="10"/>
      <c r="BA27"/>
      <c r="BG27"/>
      <c r="BH27" s="10"/>
      <c r="BI27" s="10"/>
      <c r="BK27"/>
      <c r="BL27" s="10"/>
      <c r="BM27" s="77" t="str">
        <f>$BM$3</f>
        <v>Bulletin Fiscal Year</v>
      </c>
      <c r="BP27" s="10"/>
      <c r="CH27"/>
      <c r="CI27"/>
      <c r="CJ27"/>
      <c r="CK27"/>
      <c r="CL27"/>
    </row>
    <row r="28" spans="1:90">
      <c r="U28" s="10"/>
      <c r="V28" s="10"/>
      <c r="W28" s="10"/>
      <c r="X28" s="10"/>
      <c r="Y28" s="10"/>
      <c r="AA28"/>
      <c r="AE28" s="10"/>
      <c r="AF28"/>
      <c r="AJ28" s="10"/>
      <c r="AR28"/>
      <c r="AV28" s="10"/>
      <c r="BA28"/>
      <c r="BG28"/>
      <c r="BH28" s="10"/>
      <c r="BI28" s="10"/>
      <c r="BK28"/>
      <c r="BL28" s="10"/>
      <c r="BM28" s="78">
        <v>1993</v>
      </c>
      <c r="BP28" s="10"/>
      <c r="CH28"/>
      <c r="CI28"/>
      <c r="CJ28"/>
      <c r="CK28"/>
      <c r="CL28"/>
    </row>
    <row r="29" spans="1:90">
      <c r="U29" s="10"/>
      <c r="V29" s="10"/>
      <c r="W29" s="10"/>
      <c r="X29" s="10"/>
      <c r="Y29" s="10"/>
      <c r="AA29"/>
      <c r="AE29" s="10"/>
      <c r="AF29"/>
      <c r="AJ29" s="10"/>
      <c r="AR29"/>
      <c r="AV29" s="10"/>
      <c r="BA29"/>
      <c r="BG29"/>
      <c r="BH29" s="10"/>
      <c r="BI29" s="10"/>
      <c r="BK29"/>
      <c r="BL29" s="10"/>
      <c r="BP29" s="10"/>
      <c r="CH29"/>
      <c r="CI29"/>
      <c r="CJ29"/>
      <c r="CK29"/>
      <c r="CL29"/>
    </row>
    <row r="30" spans="1:90" ht="22.5">
      <c r="U30" s="10"/>
      <c r="V30" s="10"/>
      <c r="W30" s="10"/>
      <c r="X30" s="10"/>
      <c r="Y30" s="10"/>
      <c r="AA30"/>
      <c r="AE30" s="10"/>
      <c r="AF30"/>
      <c r="AJ30" s="10"/>
      <c r="AR30"/>
      <c r="AV30" s="10"/>
      <c r="BA30"/>
      <c r="BG30"/>
      <c r="BH30" s="10"/>
      <c r="BI30" s="10"/>
      <c r="BK30"/>
      <c r="BL30" s="10"/>
      <c r="BM30" s="77" t="str">
        <f>$BM$3</f>
        <v>Bulletin Fiscal Year</v>
      </c>
      <c r="BP30" s="10"/>
      <c r="CH30"/>
      <c r="CI30"/>
      <c r="CJ30"/>
      <c r="CK30"/>
      <c r="CL30"/>
    </row>
    <row r="31" spans="1:90">
      <c r="U31" s="10"/>
      <c r="V31" s="10"/>
      <c r="W31" s="10"/>
      <c r="X31" s="10"/>
      <c r="Y31" s="10"/>
      <c r="AA31"/>
      <c r="AE31" s="10"/>
      <c r="AF31"/>
      <c r="AJ31" s="10"/>
      <c r="AR31"/>
      <c r="AV31" s="10"/>
      <c r="BA31"/>
      <c r="BG31"/>
      <c r="BH31" s="10"/>
      <c r="BI31" s="10"/>
      <c r="BK31"/>
      <c r="BL31" s="10"/>
      <c r="BM31" s="78">
        <v>1994</v>
      </c>
      <c r="BP31" s="10"/>
      <c r="CH31"/>
      <c r="CI31"/>
      <c r="CJ31"/>
      <c r="CK31"/>
      <c r="CL31"/>
    </row>
    <row r="32" spans="1:90">
      <c r="U32" s="10"/>
      <c r="V32" s="10"/>
      <c r="W32" s="10"/>
      <c r="X32" s="10"/>
      <c r="Y32" s="10"/>
      <c r="AA32"/>
      <c r="AE32" s="10"/>
      <c r="AF32"/>
      <c r="AJ32" s="10"/>
      <c r="AR32"/>
      <c r="AV32" s="10"/>
      <c r="BA32"/>
      <c r="BG32"/>
      <c r="BH32" s="10"/>
      <c r="BI32" s="10"/>
      <c r="BK32"/>
      <c r="BL32" s="10"/>
      <c r="BP32" s="10"/>
      <c r="CH32"/>
      <c r="CI32"/>
      <c r="CJ32"/>
      <c r="CK32"/>
      <c r="CL32"/>
    </row>
    <row r="33" spans="21:90" ht="22.5">
      <c r="U33" s="10"/>
      <c r="V33" s="10"/>
      <c r="W33" s="10"/>
      <c r="X33" s="10"/>
      <c r="Y33" s="10"/>
      <c r="AA33"/>
      <c r="AE33" s="10"/>
      <c r="AF33"/>
      <c r="AJ33" s="10"/>
      <c r="AR33"/>
      <c r="AV33" s="10"/>
      <c r="BA33"/>
      <c r="BG33"/>
      <c r="BH33" s="10"/>
      <c r="BI33" s="10"/>
      <c r="BK33"/>
      <c r="BL33" s="10"/>
      <c r="BM33" s="77" t="str">
        <f>$BM$3</f>
        <v>Bulletin Fiscal Year</v>
      </c>
      <c r="BP33" s="10"/>
      <c r="CH33"/>
      <c r="CI33"/>
      <c r="CJ33"/>
      <c r="CK33"/>
      <c r="CL33"/>
    </row>
    <row r="34" spans="21:90">
      <c r="U34" s="10"/>
      <c r="V34" s="10"/>
      <c r="W34" s="10"/>
      <c r="X34" s="10"/>
      <c r="Y34" s="10"/>
      <c r="AA34"/>
      <c r="AE34" s="10"/>
      <c r="AF34"/>
      <c r="AJ34" s="10"/>
      <c r="AR34"/>
      <c r="AV34" s="10"/>
      <c r="BA34"/>
      <c r="BG34"/>
      <c r="BH34" s="10"/>
      <c r="BI34" s="10"/>
      <c r="BK34"/>
      <c r="BL34" s="10"/>
      <c r="BM34" s="78">
        <v>1995</v>
      </c>
      <c r="BP34" s="10"/>
      <c r="CH34"/>
      <c r="CI34"/>
      <c r="CJ34"/>
      <c r="CK34"/>
      <c r="CL34"/>
    </row>
    <row r="35" spans="21:90">
      <c r="U35" s="10"/>
      <c r="V35" s="10"/>
      <c r="W35" s="10"/>
      <c r="X35" s="10"/>
      <c r="Y35" s="10"/>
      <c r="AA35"/>
      <c r="AE35" s="10"/>
      <c r="AF35"/>
      <c r="AJ35" s="10"/>
      <c r="AR35"/>
      <c r="AV35" s="10"/>
      <c r="BA35"/>
      <c r="BG35"/>
      <c r="BH35" s="10"/>
      <c r="BI35" s="10"/>
      <c r="BK35"/>
      <c r="BL35" s="10"/>
      <c r="BP35" s="10"/>
      <c r="CH35"/>
      <c r="CI35"/>
      <c r="CJ35"/>
      <c r="CK35"/>
      <c r="CL35"/>
    </row>
    <row r="36" spans="21:90" ht="22.5">
      <c r="U36" s="10"/>
      <c r="V36" s="10"/>
      <c r="W36" s="10"/>
      <c r="X36" s="10"/>
      <c r="Y36" s="10"/>
      <c r="AA36"/>
      <c r="AE36" s="10"/>
      <c r="AF36"/>
      <c r="AJ36" s="10"/>
      <c r="AR36"/>
      <c r="AV36" s="10"/>
      <c r="BA36"/>
      <c r="BG36"/>
      <c r="BH36" s="10"/>
      <c r="BI36" s="10"/>
      <c r="BK36"/>
      <c r="BL36" s="10"/>
      <c r="BM36" s="77" t="str">
        <f>$BM$3</f>
        <v>Bulletin Fiscal Year</v>
      </c>
      <c r="BP36" s="10"/>
      <c r="CH36"/>
      <c r="CI36"/>
      <c r="CJ36"/>
      <c r="CK36"/>
      <c r="CL36"/>
    </row>
    <row r="37" spans="21:90">
      <c r="U37" s="10"/>
      <c r="V37" s="10"/>
      <c r="W37" s="10"/>
      <c r="X37" s="10"/>
      <c r="Y37" s="10"/>
      <c r="AA37"/>
      <c r="AE37" s="10"/>
      <c r="AF37"/>
      <c r="AJ37" s="10"/>
      <c r="AR37"/>
      <c r="AV37" s="10"/>
      <c r="BA37"/>
      <c r="BG37"/>
      <c r="BH37" s="10"/>
      <c r="BI37" s="10"/>
      <c r="BK37"/>
      <c r="BL37" s="10"/>
      <c r="BM37" s="78">
        <v>1996</v>
      </c>
      <c r="BP37" s="10"/>
      <c r="CH37"/>
      <c r="CI37"/>
      <c r="CJ37"/>
      <c r="CK37"/>
      <c r="CL37"/>
    </row>
    <row r="38" spans="21:90">
      <c r="U38" s="10"/>
      <c r="V38" s="10"/>
      <c r="W38" s="10"/>
      <c r="X38" s="10"/>
      <c r="Y38" s="10"/>
      <c r="AA38"/>
      <c r="AE38" s="10"/>
      <c r="AF38"/>
      <c r="AJ38" s="10"/>
      <c r="AR38"/>
      <c r="AV38" s="10"/>
      <c r="BA38"/>
      <c r="BG38"/>
      <c r="BH38" s="10"/>
      <c r="BI38" s="10"/>
      <c r="BK38"/>
      <c r="BL38" s="10"/>
      <c r="BP38" s="10"/>
      <c r="CH38"/>
      <c r="CI38"/>
      <c r="CJ38"/>
      <c r="CK38"/>
      <c r="CL38"/>
    </row>
    <row r="39" spans="21:90" ht="22.5">
      <c r="U39" s="10"/>
      <c r="V39" s="10"/>
      <c r="W39" s="10"/>
      <c r="X39" s="10"/>
      <c r="Y39" s="10"/>
      <c r="AA39"/>
      <c r="AE39" s="10"/>
      <c r="AF39"/>
      <c r="AJ39" s="10"/>
      <c r="AR39"/>
      <c r="AV39" s="10"/>
      <c r="BA39"/>
      <c r="BG39"/>
      <c r="BH39" s="10"/>
      <c r="BI39" s="10"/>
      <c r="BK39"/>
      <c r="BL39" s="10"/>
      <c r="BM39" s="77" t="str">
        <f>$BM$3</f>
        <v>Bulletin Fiscal Year</v>
      </c>
      <c r="BP39" s="10"/>
      <c r="CH39"/>
      <c r="CI39"/>
      <c r="CJ39"/>
      <c r="CK39"/>
      <c r="CL39"/>
    </row>
    <row r="40" spans="21:90">
      <c r="U40" s="10"/>
      <c r="V40" s="10"/>
      <c r="W40" s="10"/>
      <c r="X40" s="10"/>
      <c r="Y40" s="10"/>
      <c r="AA40"/>
      <c r="AE40" s="10"/>
      <c r="AF40"/>
      <c r="AJ40" s="10"/>
      <c r="AR40"/>
      <c r="AV40" s="10"/>
      <c r="BA40"/>
      <c r="BG40"/>
      <c r="BH40" s="10"/>
      <c r="BI40" s="10"/>
      <c r="BK40"/>
      <c r="BL40" s="10"/>
      <c r="BM40" s="78">
        <v>1997</v>
      </c>
      <c r="BP40" s="10"/>
      <c r="CH40"/>
      <c r="CI40"/>
      <c r="CJ40"/>
      <c r="CK40"/>
      <c r="CL40"/>
    </row>
    <row r="41" spans="21:90">
      <c r="U41" s="10"/>
      <c r="V41" s="10"/>
      <c r="W41" s="10"/>
      <c r="X41" s="10"/>
      <c r="Y41" s="10"/>
      <c r="AA41"/>
      <c r="AE41" s="10"/>
      <c r="AF41"/>
      <c r="AJ41" s="10"/>
      <c r="AR41"/>
      <c r="AV41" s="10"/>
      <c r="BA41"/>
      <c r="BG41"/>
      <c r="BH41" s="10"/>
      <c r="BI41" s="10"/>
      <c r="BK41"/>
      <c r="BL41" s="10"/>
      <c r="BP41" s="10"/>
      <c r="CH41"/>
      <c r="CI41"/>
      <c r="CJ41"/>
      <c r="CK41"/>
      <c r="CL41"/>
    </row>
    <row r="42" spans="21:90" ht="22.5">
      <c r="U42" s="10"/>
      <c r="V42" s="10"/>
      <c r="W42" s="10"/>
      <c r="X42" s="10"/>
      <c r="Y42" s="10"/>
      <c r="AA42"/>
      <c r="AE42" s="10"/>
      <c r="AF42"/>
      <c r="AJ42" s="10"/>
      <c r="AR42"/>
      <c r="AV42" s="10"/>
      <c r="BA42"/>
      <c r="BG42"/>
      <c r="BH42" s="10"/>
      <c r="BI42" s="10"/>
      <c r="BK42"/>
      <c r="BL42" s="10"/>
      <c r="BM42" s="77" t="str">
        <f>$BM$3</f>
        <v>Bulletin Fiscal Year</v>
      </c>
      <c r="BP42" s="10"/>
      <c r="CH42"/>
      <c r="CI42"/>
      <c r="CJ42"/>
      <c r="CK42"/>
      <c r="CL42"/>
    </row>
    <row r="43" spans="21:90">
      <c r="U43" s="10"/>
      <c r="V43" s="10"/>
      <c r="W43" s="10"/>
      <c r="X43" s="10"/>
      <c r="Y43" s="10"/>
      <c r="AA43"/>
      <c r="AE43" s="10"/>
      <c r="AF43"/>
      <c r="AJ43" s="10"/>
      <c r="AR43"/>
      <c r="AV43" s="10"/>
      <c r="BA43"/>
      <c r="BG43"/>
      <c r="BH43" s="10"/>
      <c r="BI43" s="10"/>
      <c r="BK43"/>
      <c r="BL43" s="10"/>
      <c r="BM43" s="78">
        <v>1998</v>
      </c>
      <c r="BP43" s="10"/>
      <c r="CH43"/>
      <c r="CI43"/>
      <c r="CJ43"/>
      <c r="CK43"/>
      <c r="CL43"/>
    </row>
    <row r="44" spans="21:90">
      <c r="U44" s="10"/>
      <c r="V44" s="10"/>
      <c r="W44" s="10"/>
      <c r="X44" s="10"/>
      <c r="Y44" s="10"/>
      <c r="AA44"/>
      <c r="AE44" s="10"/>
      <c r="AF44"/>
      <c r="AJ44" s="10"/>
      <c r="AR44"/>
      <c r="AV44" s="10"/>
      <c r="BA44"/>
      <c r="BG44"/>
      <c r="BH44" s="10"/>
      <c r="BI44" s="10"/>
      <c r="BK44"/>
      <c r="BL44" s="10"/>
      <c r="BP44" s="10"/>
      <c r="CH44"/>
      <c r="CI44"/>
      <c r="CJ44"/>
      <c r="CK44"/>
      <c r="CL44"/>
    </row>
    <row r="45" spans="21:90" ht="22.5">
      <c r="U45" s="10"/>
      <c r="V45" s="10"/>
      <c r="W45" s="10"/>
      <c r="X45" s="10"/>
      <c r="Y45" s="10"/>
      <c r="AA45"/>
      <c r="AE45" s="10"/>
      <c r="AF45"/>
      <c r="AJ45" s="10"/>
      <c r="AR45"/>
      <c r="AV45" s="10"/>
      <c r="BA45"/>
      <c r="BG45"/>
      <c r="BH45" s="10"/>
      <c r="BI45" s="10"/>
      <c r="BK45"/>
      <c r="BL45" s="10"/>
      <c r="BM45" s="77" t="str">
        <f>$BM$3</f>
        <v>Bulletin Fiscal Year</v>
      </c>
      <c r="BP45" s="10"/>
      <c r="CH45"/>
      <c r="CI45"/>
      <c r="CJ45"/>
      <c r="CK45"/>
      <c r="CL45"/>
    </row>
    <row r="46" spans="21:90">
      <c r="U46" s="10"/>
      <c r="V46" s="10"/>
      <c r="W46" s="10"/>
      <c r="X46" s="10"/>
      <c r="Y46" s="10"/>
      <c r="AA46"/>
      <c r="AE46" s="10"/>
      <c r="AF46"/>
      <c r="AJ46" s="10"/>
      <c r="AR46"/>
      <c r="AV46" s="10"/>
      <c r="BA46"/>
      <c r="BG46"/>
      <c r="BH46" s="10"/>
      <c r="BI46" s="10"/>
      <c r="BK46"/>
      <c r="BL46" s="10"/>
      <c r="BM46" s="78">
        <v>1999</v>
      </c>
      <c r="BP46" s="10"/>
      <c r="CH46"/>
      <c r="CI46"/>
      <c r="CJ46"/>
      <c r="CK46"/>
      <c r="CL46"/>
    </row>
    <row r="47" spans="21:90">
      <c r="U47" s="10"/>
      <c r="V47" s="10"/>
      <c r="W47" s="10"/>
      <c r="X47" s="10"/>
      <c r="Y47" s="10"/>
      <c r="AA47"/>
      <c r="AE47" s="10"/>
      <c r="AF47"/>
      <c r="AJ47" s="10"/>
      <c r="AR47"/>
      <c r="AV47" s="10"/>
      <c r="BA47"/>
      <c r="BG47"/>
      <c r="BH47" s="10"/>
      <c r="BI47" s="10"/>
      <c r="BK47"/>
      <c r="BL47" s="10"/>
      <c r="BP47" s="10"/>
      <c r="CH47"/>
      <c r="CI47"/>
      <c r="CJ47"/>
      <c r="CK47"/>
      <c r="CL47"/>
    </row>
    <row r="48" spans="21:90" ht="22.5">
      <c r="U48" s="10"/>
      <c r="V48" s="10"/>
      <c r="W48" s="10"/>
      <c r="X48" s="10"/>
      <c r="Y48" s="10"/>
      <c r="AA48"/>
      <c r="AE48" s="10"/>
      <c r="AF48"/>
      <c r="AJ48" s="10"/>
      <c r="AR48"/>
      <c r="AV48" s="10"/>
      <c r="BA48"/>
      <c r="BG48"/>
      <c r="BH48" s="10"/>
      <c r="BI48" s="10"/>
      <c r="BK48"/>
      <c r="BL48" s="10"/>
      <c r="BM48" s="77" t="str">
        <f>$BM$3</f>
        <v>Bulletin Fiscal Year</v>
      </c>
      <c r="BP48" s="10"/>
      <c r="CH48"/>
      <c r="CI48"/>
      <c r="CJ48"/>
      <c r="CK48"/>
      <c r="CL48"/>
    </row>
    <row r="49" spans="21:90">
      <c r="U49" s="10"/>
      <c r="V49" s="10"/>
      <c r="W49" s="10"/>
      <c r="X49" s="10"/>
      <c r="Y49" s="10"/>
      <c r="AA49"/>
      <c r="AE49" s="10"/>
      <c r="AF49"/>
      <c r="AJ49" s="10"/>
      <c r="AR49"/>
      <c r="AV49" s="10"/>
      <c r="BA49"/>
      <c r="BG49"/>
      <c r="BH49" s="10"/>
      <c r="BI49" s="10"/>
      <c r="BK49"/>
      <c r="BL49" s="10"/>
      <c r="BM49" s="78">
        <v>2000</v>
      </c>
      <c r="BP49" s="10"/>
      <c r="CH49"/>
      <c r="CI49"/>
      <c r="CJ49"/>
      <c r="CK49"/>
      <c r="CL49"/>
    </row>
    <row r="50" spans="21:90">
      <c r="U50" s="10"/>
      <c r="V50" s="10"/>
      <c r="W50" s="10"/>
      <c r="X50" s="10"/>
      <c r="Y50" s="10"/>
      <c r="AA50"/>
      <c r="AE50" s="10"/>
      <c r="AF50"/>
      <c r="AJ50" s="10"/>
      <c r="AR50"/>
      <c r="AV50" s="10"/>
      <c r="BA50"/>
      <c r="BG50"/>
      <c r="BH50" s="10"/>
      <c r="BI50" s="10"/>
      <c r="BK50"/>
      <c r="BL50" s="10"/>
      <c r="BP50" s="10"/>
      <c r="CH50"/>
      <c r="CI50"/>
      <c r="CJ50"/>
      <c r="CK50"/>
      <c r="CL50"/>
    </row>
    <row r="51" spans="21:90" ht="22.5">
      <c r="U51" s="10"/>
      <c r="V51" s="10"/>
      <c r="W51" s="10"/>
      <c r="X51" s="10"/>
      <c r="Y51" s="10"/>
      <c r="AA51"/>
      <c r="AE51" s="10"/>
      <c r="AF51"/>
      <c r="AJ51" s="10"/>
      <c r="AR51"/>
      <c r="AV51" s="10"/>
      <c r="BA51"/>
      <c r="BG51"/>
      <c r="BH51" s="10"/>
      <c r="BI51" s="10"/>
      <c r="BK51"/>
      <c r="BL51" s="10"/>
      <c r="BM51" s="77" t="str">
        <f>$BM$3</f>
        <v>Bulletin Fiscal Year</v>
      </c>
      <c r="BP51" s="10"/>
      <c r="CH51"/>
      <c r="CI51"/>
      <c r="CJ51"/>
      <c r="CK51"/>
      <c r="CL51"/>
    </row>
    <row r="52" spans="21:90">
      <c r="U52" s="10"/>
      <c r="V52" s="10"/>
      <c r="W52" s="10"/>
      <c r="X52" s="10"/>
      <c r="Y52" s="10"/>
      <c r="AA52"/>
      <c r="AE52" s="10"/>
      <c r="AF52"/>
      <c r="AJ52" s="10"/>
      <c r="AR52"/>
      <c r="AV52" s="10"/>
      <c r="BA52"/>
      <c r="BG52"/>
      <c r="BH52" s="10"/>
      <c r="BI52" s="10"/>
      <c r="BK52"/>
      <c r="BL52" s="10"/>
      <c r="BM52" s="78">
        <v>2001</v>
      </c>
      <c r="BP52" s="10"/>
      <c r="CH52"/>
      <c r="CI52"/>
      <c r="CJ52"/>
      <c r="CK52"/>
      <c r="CL52"/>
    </row>
    <row r="53" spans="21:90">
      <c r="U53" s="10"/>
      <c r="V53" s="10"/>
      <c r="W53" s="10"/>
      <c r="X53" s="10"/>
      <c r="Y53" s="10"/>
      <c r="AA53"/>
      <c r="AE53" s="10"/>
      <c r="AF53"/>
      <c r="AJ53" s="10"/>
      <c r="AR53"/>
      <c r="AV53" s="10"/>
      <c r="BA53"/>
      <c r="BG53"/>
      <c r="BH53" s="10"/>
      <c r="BI53" s="10"/>
      <c r="BK53"/>
      <c r="BL53" s="10"/>
      <c r="BP53" s="10"/>
      <c r="CH53"/>
      <c r="CI53"/>
      <c r="CJ53"/>
      <c r="CK53"/>
      <c r="CL53"/>
    </row>
    <row r="54" spans="21:90" ht="22.5">
      <c r="U54" s="10"/>
      <c r="V54" s="10"/>
      <c r="W54" s="10"/>
      <c r="X54" s="10"/>
      <c r="Y54" s="10"/>
      <c r="AA54"/>
      <c r="AE54" s="10"/>
      <c r="AF54"/>
      <c r="AJ54" s="10"/>
      <c r="AR54"/>
      <c r="AV54" s="10"/>
      <c r="BA54"/>
      <c r="BG54"/>
      <c r="BH54" s="10"/>
      <c r="BI54" s="10"/>
      <c r="BK54"/>
      <c r="BL54" s="10"/>
      <c r="BM54" s="77" t="str">
        <f>$BM$3</f>
        <v>Bulletin Fiscal Year</v>
      </c>
      <c r="BP54" s="10"/>
      <c r="CH54"/>
      <c r="CI54"/>
      <c r="CJ54"/>
      <c r="CK54"/>
      <c r="CL54"/>
    </row>
    <row r="55" spans="21:90">
      <c r="U55" s="10"/>
      <c r="V55" s="10"/>
      <c r="W55" s="10"/>
      <c r="X55" s="10"/>
      <c r="Y55" s="10"/>
      <c r="AA55"/>
      <c r="AE55" s="10"/>
      <c r="AF55"/>
      <c r="AJ55" s="10"/>
      <c r="AR55"/>
      <c r="AV55" s="10"/>
      <c r="BA55"/>
      <c r="BG55"/>
      <c r="BH55" s="10"/>
      <c r="BI55" s="10"/>
      <c r="BK55"/>
      <c r="BL55" s="10"/>
      <c r="BM55" s="78">
        <v>2002</v>
      </c>
      <c r="BP55" s="10"/>
      <c r="CH55"/>
      <c r="CI55"/>
      <c r="CJ55"/>
      <c r="CK55"/>
      <c r="CL55"/>
    </row>
    <row r="56" spans="21:90">
      <c r="U56" s="10"/>
      <c r="V56" s="10"/>
      <c r="W56" s="10"/>
      <c r="X56" s="10"/>
      <c r="Y56" s="10"/>
      <c r="AA56"/>
      <c r="AE56" s="10"/>
      <c r="AF56"/>
      <c r="AJ56" s="10"/>
      <c r="AR56"/>
      <c r="AV56" s="10"/>
      <c r="BA56"/>
      <c r="BG56"/>
      <c r="BH56" s="10"/>
      <c r="BI56" s="10"/>
      <c r="BK56"/>
      <c r="BL56" s="10"/>
      <c r="BP56" s="10"/>
      <c r="CH56"/>
      <c r="CI56"/>
      <c r="CJ56"/>
      <c r="CK56"/>
      <c r="CL56"/>
    </row>
    <row r="57" spans="21:90" ht="22.5">
      <c r="U57" s="10"/>
      <c r="V57" s="10"/>
      <c r="W57" s="10"/>
      <c r="X57" s="10"/>
      <c r="Y57" s="10"/>
      <c r="AA57"/>
      <c r="AE57" s="10"/>
      <c r="AF57"/>
      <c r="AJ57" s="10"/>
      <c r="AR57"/>
      <c r="AV57" s="10"/>
      <c r="BA57"/>
      <c r="BG57"/>
      <c r="BH57" s="10"/>
      <c r="BI57" s="10"/>
      <c r="BK57"/>
      <c r="BL57" s="10"/>
      <c r="BM57" s="77" t="str">
        <f>$BM$3</f>
        <v>Bulletin Fiscal Year</v>
      </c>
      <c r="BP57" s="10"/>
      <c r="CH57"/>
      <c r="CI57"/>
      <c r="CJ57"/>
      <c r="CK57"/>
      <c r="CL57"/>
    </row>
    <row r="58" spans="21:90">
      <c r="U58" s="10"/>
      <c r="V58" s="10"/>
      <c r="W58" s="10"/>
      <c r="X58" s="10"/>
      <c r="Y58" s="10"/>
      <c r="AA58"/>
      <c r="AE58" s="10"/>
      <c r="AF58"/>
      <c r="AJ58" s="10"/>
      <c r="AR58"/>
      <c r="AV58" s="10"/>
      <c r="BA58"/>
      <c r="BG58"/>
      <c r="BH58" s="10"/>
      <c r="BI58" s="10"/>
      <c r="BK58"/>
      <c r="BL58" s="10"/>
      <c r="BM58" s="78">
        <v>2003</v>
      </c>
      <c r="BP58" s="10"/>
      <c r="CH58"/>
      <c r="CI58"/>
      <c r="CJ58"/>
      <c r="CK58"/>
      <c r="CL58"/>
    </row>
    <row r="59" spans="21:90">
      <c r="U59" s="10"/>
      <c r="V59" s="10"/>
      <c r="W59" s="10"/>
      <c r="X59" s="10"/>
      <c r="Y59" s="10"/>
      <c r="AA59"/>
      <c r="AE59" s="10"/>
      <c r="AF59"/>
      <c r="AJ59" s="10"/>
      <c r="AR59"/>
      <c r="AV59" s="10"/>
      <c r="BA59"/>
      <c r="BG59"/>
      <c r="BH59" s="10"/>
      <c r="BI59" s="10"/>
      <c r="BK59"/>
      <c r="BL59" s="10"/>
      <c r="BP59" s="10"/>
      <c r="CH59"/>
      <c r="CI59"/>
      <c r="CJ59"/>
      <c r="CK59"/>
      <c r="CL59"/>
    </row>
    <row r="60" spans="21:90" ht="22.5">
      <c r="U60" s="10"/>
      <c r="V60" s="10"/>
      <c r="W60" s="10"/>
      <c r="X60" s="10"/>
      <c r="Y60" s="10"/>
      <c r="AA60"/>
      <c r="AE60" s="10"/>
      <c r="AF60"/>
      <c r="AJ60" s="10"/>
      <c r="AR60"/>
      <c r="AV60" s="10"/>
      <c r="BA60"/>
      <c r="BG60"/>
      <c r="BH60" s="10"/>
      <c r="BI60" s="10"/>
      <c r="BK60"/>
      <c r="BL60" s="10"/>
      <c r="BM60" s="77" t="str">
        <f>$BM$3</f>
        <v>Bulletin Fiscal Year</v>
      </c>
      <c r="BP60" s="10"/>
      <c r="CH60"/>
      <c r="CI60"/>
      <c r="CJ60"/>
      <c r="CK60"/>
      <c r="CL60"/>
    </row>
    <row r="61" spans="21:90">
      <c r="U61" s="10"/>
      <c r="V61" s="10"/>
      <c r="W61" s="10"/>
      <c r="X61" s="10"/>
      <c r="Y61" s="10"/>
      <c r="AA61"/>
      <c r="AE61" s="10"/>
      <c r="AF61"/>
      <c r="AJ61" s="10"/>
      <c r="AR61"/>
      <c r="AV61" s="10"/>
      <c r="BA61"/>
      <c r="BG61"/>
      <c r="BH61" s="10"/>
      <c r="BI61" s="10"/>
      <c r="BK61"/>
      <c r="BL61" s="10"/>
      <c r="BM61" s="78">
        <v>2004</v>
      </c>
      <c r="BP61" s="10"/>
      <c r="CH61"/>
      <c r="CI61"/>
      <c r="CJ61"/>
      <c r="CK61"/>
      <c r="CL61"/>
    </row>
    <row r="62" spans="21:90">
      <c r="U62" s="10"/>
      <c r="V62" s="10"/>
      <c r="W62" s="10"/>
      <c r="X62" s="10"/>
      <c r="Y62" s="10"/>
      <c r="AA62"/>
      <c r="AE62" s="10"/>
      <c r="AF62"/>
      <c r="AJ62" s="10"/>
      <c r="AR62"/>
      <c r="AV62" s="10"/>
      <c r="BA62"/>
      <c r="BG62"/>
      <c r="BH62" s="10"/>
      <c r="BI62" s="10"/>
      <c r="BK62"/>
      <c r="BL62" s="10"/>
      <c r="BP62" s="10"/>
      <c r="CH62"/>
      <c r="CI62"/>
      <c r="CJ62"/>
      <c r="CK62"/>
      <c r="CL62"/>
    </row>
    <row r="63" spans="21:90" ht="22.5">
      <c r="U63" s="10"/>
      <c r="V63" s="10"/>
      <c r="W63" s="10"/>
      <c r="X63" s="10"/>
      <c r="Y63" s="10"/>
      <c r="AA63"/>
      <c r="AE63" s="10"/>
      <c r="AF63"/>
      <c r="AJ63" s="10"/>
      <c r="AR63"/>
      <c r="AV63" s="10"/>
      <c r="BA63"/>
      <c r="BG63"/>
      <c r="BH63" s="10"/>
      <c r="BI63" s="10"/>
      <c r="BK63"/>
      <c r="BL63" s="10"/>
      <c r="BM63" s="77" t="str">
        <f>$BM$3</f>
        <v>Bulletin Fiscal Year</v>
      </c>
      <c r="BP63" s="10"/>
      <c r="CH63"/>
      <c r="CI63"/>
      <c r="CJ63"/>
      <c r="CK63"/>
      <c r="CL63"/>
    </row>
    <row r="64" spans="21:90">
      <c r="U64" s="10"/>
      <c r="V64" s="10"/>
      <c r="W64" s="10"/>
      <c r="X64" s="10"/>
      <c r="Y64" s="10"/>
      <c r="AA64"/>
      <c r="AE64" s="10"/>
      <c r="AF64"/>
      <c r="AJ64" s="10"/>
      <c r="AR64"/>
      <c r="AV64" s="10"/>
      <c r="BA64"/>
      <c r="BG64"/>
      <c r="BH64" s="10"/>
      <c r="BI64" s="10"/>
      <c r="BK64"/>
      <c r="BL64" s="10"/>
      <c r="BM64" s="78">
        <v>2005</v>
      </c>
      <c r="BP64" s="10"/>
      <c r="CH64"/>
      <c r="CI64"/>
      <c r="CJ64"/>
      <c r="CK64"/>
      <c r="CL64"/>
    </row>
    <row r="65" spans="21:90">
      <c r="U65" s="10"/>
      <c r="V65" s="10"/>
      <c r="W65" s="10"/>
      <c r="X65" s="10"/>
      <c r="Y65" s="10"/>
      <c r="AA65"/>
      <c r="AE65" s="10"/>
      <c r="AF65"/>
      <c r="AJ65" s="10"/>
      <c r="AR65"/>
      <c r="AV65" s="10"/>
      <c r="BA65"/>
      <c r="BG65"/>
      <c r="BH65" s="10"/>
      <c r="BI65" s="10"/>
      <c r="BK65"/>
      <c r="BL65" s="10"/>
      <c r="BP65" s="10"/>
      <c r="CH65"/>
      <c r="CI65"/>
      <c r="CJ65"/>
      <c r="CK65"/>
      <c r="CL65"/>
    </row>
    <row r="66" spans="21:90" ht="22.5">
      <c r="U66" s="10"/>
      <c r="V66" s="10"/>
      <c r="W66" s="10"/>
      <c r="X66" s="10"/>
      <c r="Y66" s="10"/>
      <c r="AA66"/>
      <c r="AE66" s="10"/>
      <c r="AF66"/>
      <c r="AJ66" s="10"/>
      <c r="AR66"/>
      <c r="AV66" s="10"/>
      <c r="BA66"/>
      <c r="BG66"/>
      <c r="BH66" s="10"/>
      <c r="BI66" s="10"/>
      <c r="BK66"/>
      <c r="BL66" s="10"/>
      <c r="BM66" s="77" t="str">
        <f>$BM$3</f>
        <v>Bulletin Fiscal Year</v>
      </c>
      <c r="BP66" s="10"/>
      <c r="CH66"/>
      <c r="CI66"/>
      <c r="CJ66"/>
      <c r="CK66"/>
      <c r="CL66"/>
    </row>
    <row r="67" spans="21:90">
      <c r="U67" s="10"/>
      <c r="V67" s="10"/>
      <c r="W67" s="10"/>
      <c r="X67" s="10"/>
      <c r="Y67" s="10"/>
      <c r="AA67"/>
      <c r="AE67" s="10"/>
      <c r="AF67"/>
      <c r="AJ67" s="10"/>
      <c r="AR67"/>
      <c r="AV67" s="10"/>
      <c r="BA67"/>
      <c r="BG67"/>
      <c r="BH67" s="10"/>
      <c r="BI67" s="10"/>
      <c r="BK67"/>
      <c r="BL67" s="10"/>
      <c r="BM67" s="78">
        <v>2006</v>
      </c>
      <c r="BP67" s="10"/>
      <c r="CH67"/>
      <c r="CI67"/>
      <c r="CJ67"/>
      <c r="CK67"/>
      <c r="CL67"/>
    </row>
    <row r="68" spans="21:90">
      <c r="U68" s="10"/>
      <c r="V68" s="10"/>
      <c r="W68" s="10"/>
      <c r="X68" s="10"/>
      <c r="Y68" s="10"/>
      <c r="AA68"/>
      <c r="AE68" s="10"/>
      <c r="AF68"/>
      <c r="AJ68" s="10"/>
      <c r="AR68"/>
      <c r="AV68" s="10"/>
      <c r="BA68"/>
      <c r="BG68"/>
      <c r="BH68" s="10"/>
      <c r="BI68" s="10"/>
      <c r="BK68"/>
      <c r="BL68" s="10"/>
      <c r="BP68" s="10"/>
      <c r="CH68"/>
      <c r="CI68"/>
      <c r="CJ68"/>
      <c r="CK68"/>
      <c r="CL68"/>
    </row>
    <row r="69" spans="21:90" ht="22.5">
      <c r="U69" s="10"/>
      <c r="V69" s="10"/>
      <c r="W69" s="10"/>
      <c r="X69" s="10"/>
      <c r="Y69" s="10"/>
      <c r="AA69"/>
      <c r="AE69" s="10"/>
      <c r="AF69"/>
      <c r="AJ69" s="10"/>
      <c r="AR69"/>
      <c r="AV69" s="10"/>
      <c r="BA69"/>
      <c r="BG69"/>
      <c r="BH69" s="10"/>
      <c r="BI69" s="10"/>
      <c r="BK69"/>
      <c r="BL69" s="10"/>
      <c r="BM69" s="77" t="str">
        <f>$BM$3</f>
        <v>Bulletin Fiscal Year</v>
      </c>
      <c r="BP69" s="10"/>
      <c r="CH69"/>
      <c r="CI69"/>
      <c r="CJ69"/>
      <c r="CK69"/>
      <c r="CL69"/>
    </row>
    <row r="70" spans="21:90">
      <c r="U70" s="10"/>
      <c r="V70" s="10"/>
      <c r="W70" s="10"/>
      <c r="X70" s="10"/>
      <c r="Y70" s="10"/>
      <c r="AA70"/>
      <c r="AE70" s="10"/>
      <c r="AF70"/>
      <c r="AJ70" s="10"/>
      <c r="AR70"/>
      <c r="AV70" s="10"/>
      <c r="BA70"/>
      <c r="BG70"/>
      <c r="BH70" s="10"/>
      <c r="BI70" s="10"/>
      <c r="BK70"/>
      <c r="BL70" s="10"/>
      <c r="BM70" s="78">
        <v>2007</v>
      </c>
      <c r="BP70" s="10"/>
      <c r="CH70"/>
      <c r="CI70"/>
      <c r="CJ70"/>
      <c r="CK70"/>
      <c r="CL70"/>
    </row>
    <row r="71" spans="21:90">
      <c r="U71" s="10"/>
      <c r="V71" s="10"/>
      <c r="W71" s="10"/>
      <c r="X71" s="10"/>
      <c r="Y71" s="10"/>
      <c r="AA71"/>
      <c r="AE71" s="10"/>
      <c r="AF71"/>
      <c r="AJ71" s="10"/>
      <c r="AR71"/>
      <c r="AV71" s="10"/>
      <c r="BA71"/>
      <c r="BG71"/>
      <c r="BH71" s="10"/>
      <c r="BI71" s="10"/>
      <c r="BK71"/>
      <c r="BL71" s="10"/>
      <c r="BP71" s="10"/>
      <c r="CH71"/>
      <c r="CI71"/>
      <c r="CJ71"/>
      <c r="CK71"/>
      <c r="CL71"/>
    </row>
    <row r="72" spans="21:90" ht="22.5">
      <c r="U72" s="10"/>
      <c r="V72" s="10"/>
      <c r="W72" s="10"/>
      <c r="X72" s="10"/>
      <c r="Y72" s="10"/>
      <c r="AA72"/>
      <c r="AE72" s="10"/>
      <c r="AF72"/>
      <c r="AJ72" s="10"/>
      <c r="AR72"/>
      <c r="AV72" s="10"/>
      <c r="BA72"/>
      <c r="BG72"/>
      <c r="BH72" s="10"/>
      <c r="BI72" s="10"/>
      <c r="BK72"/>
      <c r="BL72" s="10"/>
      <c r="BM72" s="77" t="str">
        <f>$BM$3</f>
        <v>Bulletin Fiscal Year</v>
      </c>
      <c r="BP72" s="10"/>
      <c r="CH72"/>
      <c r="CI72"/>
      <c r="CJ72"/>
      <c r="CK72"/>
      <c r="CL72"/>
    </row>
    <row r="73" spans="21:90">
      <c r="U73" s="10"/>
      <c r="V73" s="10"/>
      <c r="W73" s="10"/>
      <c r="X73" s="10"/>
      <c r="Y73" s="10"/>
      <c r="AA73"/>
      <c r="AE73" s="10"/>
      <c r="AF73"/>
      <c r="AJ73" s="10"/>
      <c r="AR73"/>
      <c r="AV73" s="10"/>
      <c r="BA73"/>
      <c r="BG73"/>
      <c r="BH73" s="10"/>
      <c r="BI73" s="10"/>
      <c r="BK73"/>
      <c r="BL73" s="10"/>
      <c r="BM73" s="78">
        <v>2008</v>
      </c>
      <c r="BP73" s="10"/>
      <c r="CH73"/>
      <c r="CI73"/>
      <c r="CJ73"/>
      <c r="CK73"/>
      <c r="CL73"/>
    </row>
    <row r="74" spans="21:90">
      <c r="U74" s="10"/>
      <c r="V74" s="10"/>
      <c r="W74" s="10"/>
      <c r="X74" s="10"/>
      <c r="Y74" s="10"/>
      <c r="AA74"/>
      <c r="AE74" s="10"/>
      <c r="AF74"/>
      <c r="AJ74" s="10"/>
      <c r="AR74"/>
      <c r="AV74" s="10"/>
      <c r="BA74"/>
      <c r="BG74"/>
      <c r="BH74" s="10"/>
      <c r="BI74" s="10"/>
      <c r="BK74"/>
      <c r="BL74" s="10"/>
      <c r="BP74" s="10"/>
      <c r="CH74"/>
      <c r="CI74"/>
      <c r="CJ74"/>
      <c r="CK74"/>
      <c r="CL74"/>
    </row>
    <row r="75" spans="21:90" ht="22.5">
      <c r="U75" s="10"/>
      <c r="V75" s="10"/>
      <c r="W75" s="10"/>
      <c r="X75" s="10"/>
      <c r="Y75" s="10"/>
      <c r="Z75" s="8"/>
      <c r="AB75" s="10"/>
      <c r="AC75" s="10"/>
      <c r="AE75" s="10"/>
      <c r="AF75"/>
      <c r="AJ75" s="10"/>
      <c r="AR75"/>
      <c r="AV75" s="10"/>
      <c r="BA75"/>
      <c r="BG75"/>
      <c r="BH75" s="10"/>
      <c r="BI75" s="10"/>
      <c r="BK75"/>
      <c r="BL75" s="10"/>
      <c r="BM75" s="77" t="str">
        <f>$BM$3</f>
        <v>Bulletin Fiscal Year</v>
      </c>
      <c r="BP75" s="10"/>
      <c r="CH75"/>
      <c r="CI75"/>
      <c r="CJ75"/>
      <c r="CK75"/>
      <c r="CL75"/>
    </row>
    <row r="76" spans="21:90">
      <c r="U76" s="10"/>
      <c r="V76" s="10"/>
      <c r="W76" s="10"/>
      <c r="X76" s="10"/>
      <c r="Y76" s="10"/>
      <c r="Z76" s="8"/>
      <c r="AB76" s="10"/>
      <c r="AC76" s="10"/>
      <c r="AE76" s="10"/>
      <c r="AF76"/>
      <c r="AJ76" s="10"/>
      <c r="AR76"/>
      <c r="AV76" s="10"/>
      <c r="BA76"/>
      <c r="BG76"/>
      <c r="BH76" s="10"/>
      <c r="BI76" s="10"/>
      <c r="BK76"/>
      <c r="BL76" s="10"/>
      <c r="BM76" s="78">
        <v>2009</v>
      </c>
      <c r="BP76" s="10"/>
      <c r="CH76"/>
      <c r="CI76"/>
      <c r="CJ76"/>
      <c r="CK76"/>
      <c r="CL76"/>
    </row>
    <row r="77" spans="21:90">
      <c r="U77" s="10"/>
      <c r="V77" s="10"/>
      <c r="W77" s="10"/>
      <c r="X77" s="10"/>
      <c r="Y77" s="10"/>
      <c r="Z77" s="8"/>
      <c r="AB77" s="10"/>
      <c r="AC77" s="10"/>
      <c r="AE77" s="10"/>
      <c r="AF77"/>
      <c r="AJ77" s="10"/>
      <c r="AR77"/>
      <c r="AV77" s="10"/>
      <c r="BA77"/>
      <c r="BG77"/>
      <c r="BH77" s="10"/>
      <c r="BI77" s="10"/>
      <c r="BK77"/>
      <c r="BL77" s="10"/>
      <c r="BP77" s="10"/>
      <c r="CH77"/>
      <c r="CI77"/>
      <c r="CJ77"/>
      <c r="CK77"/>
      <c r="CL77"/>
    </row>
    <row r="78" spans="21:90" ht="22.5">
      <c r="U78" s="10"/>
      <c r="V78" s="10"/>
      <c r="W78" s="10"/>
      <c r="X78" s="10"/>
      <c r="Y78" s="10"/>
      <c r="Z78" s="8"/>
      <c r="AB78" s="10"/>
      <c r="AC78" s="10"/>
      <c r="AE78" s="10"/>
      <c r="AF78"/>
      <c r="AJ78" s="10"/>
      <c r="AR78"/>
      <c r="AV78" s="10"/>
      <c r="BA78"/>
      <c r="BG78"/>
      <c r="BH78" s="10"/>
      <c r="BI78" s="10"/>
      <c r="BK78"/>
      <c r="BL78" s="10"/>
      <c r="BM78" s="77" t="str">
        <f>$BM$3</f>
        <v>Bulletin Fiscal Year</v>
      </c>
      <c r="BP78" s="10"/>
      <c r="CH78"/>
      <c r="CI78"/>
      <c r="CJ78"/>
      <c r="CK78"/>
      <c r="CL78"/>
    </row>
    <row r="79" spans="21:90">
      <c r="U79" s="10"/>
      <c r="V79" s="10"/>
      <c r="W79" s="10"/>
      <c r="X79" s="10"/>
      <c r="Y79" s="10"/>
      <c r="Z79" s="8"/>
      <c r="AB79" s="10"/>
      <c r="AC79" s="10"/>
      <c r="AE79" s="10"/>
      <c r="AF79"/>
      <c r="AJ79" s="10"/>
      <c r="AR79"/>
      <c r="AV79" s="10"/>
      <c r="BA79"/>
      <c r="BG79"/>
      <c r="BH79" s="10"/>
      <c r="BI79" s="10"/>
      <c r="BK79"/>
      <c r="BL79" s="10"/>
      <c r="BM79" s="78">
        <v>2010</v>
      </c>
      <c r="BP79" s="10"/>
      <c r="CH79"/>
      <c r="CI79"/>
      <c r="CJ79"/>
      <c r="CK79"/>
      <c r="CL79"/>
    </row>
    <row r="80" spans="21:90">
      <c r="U80" s="10"/>
      <c r="V80" s="10"/>
      <c r="W80" s="10"/>
      <c r="X80" s="10"/>
      <c r="Y80" s="10"/>
      <c r="Z80" s="8"/>
      <c r="AB80" s="10"/>
      <c r="AC80" s="10"/>
      <c r="AE80" s="10"/>
      <c r="AF80"/>
      <c r="AJ80" s="10"/>
      <c r="AR80"/>
      <c r="AV80" s="10"/>
      <c r="BA80"/>
      <c r="BG80"/>
      <c r="BH80" s="10"/>
      <c r="BI80" s="10"/>
      <c r="BK80"/>
      <c r="BL80" s="10"/>
      <c r="BP80" s="10"/>
      <c r="CH80"/>
      <c r="CI80"/>
      <c r="CJ80"/>
      <c r="CK80"/>
      <c r="CL80"/>
    </row>
    <row r="81" spans="21:90" ht="22.5">
      <c r="U81" s="10"/>
      <c r="V81" s="10"/>
      <c r="W81" s="10"/>
      <c r="X81" s="10"/>
      <c r="Y81" s="10"/>
      <c r="Z81" s="8"/>
      <c r="AB81" s="10"/>
      <c r="AC81" s="10"/>
      <c r="AE81" s="10"/>
      <c r="AF81"/>
      <c r="AJ81" s="10"/>
      <c r="AR81"/>
      <c r="AV81" s="10"/>
      <c r="BA81"/>
      <c r="BG81"/>
      <c r="BH81" s="10"/>
      <c r="BI81" s="10"/>
      <c r="BK81"/>
      <c r="BL81" s="10"/>
      <c r="BM81" s="77" t="str">
        <f>$BM$3</f>
        <v>Bulletin Fiscal Year</v>
      </c>
      <c r="BP81" s="10"/>
      <c r="CH81"/>
      <c r="CI81"/>
      <c r="CJ81"/>
      <c r="CK81"/>
      <c r="CL81"/>
    </row>
    <row r="82" spans="21:90">
      <c r="U82" s="10"/>
      <c r="V82" s="10"/>
      <c r="W82" s="10"/>
      <c r="X82" s="10"/>
      <c r="Y82" s="10"/>
      <c r="Z82" s="8"/>
      <c r="AB82" s="10"/>
      <c r="AC82" s="10"/>
      <c r="AE82" s="10"/>
      <c r="AF82"/>
      <c r="AJ82" s="10"/>
      <c r="AR82"/>
      <c r="AV82" s="10"/>
      <c r="BA82"/>
      <c r="BG82"/>
      <c r="BH82" s="10"/>
      <c r="BI82" s="10"/>
      <c r="BK82"/>
      <c r="BL82" s="10"/>
      <c r="BM82" s="78">
        <v>2011</v>
      </c>
      <c r="BP82" s="10"/>
      <c r="CH82"/>
      <c r="CI82"/>
      <c r="CJ82"/>
      <c r="CK82"/>
      <c r="CL82"/>
    </row>
    <row r="83" spans="21:90">
      <c r="U83" s="10"/>
      <c r="V83" s="10"/>
      <c r="W83" s="10"/>
      <c r="X83" s="10"/>
      <c r="Y83" s="10"/>
      <c r="Z83" s="8"/>
      <c r="AB83" s="10"/>
      <c r="AC83" s="10"/>
      <c r="AE83" s="10"/>
      <c r="AF83"/>
      <c r="AJ83" s="10"/>
      <c r="AR83"/>
      <c r="AV83" s="10"/>
      <c r="BA83"/>
      <c r="BG83"/>
      <c r="BH83" s="10"/>
      <c r="BI83" s="10"/>
      <c r="BK83"/>
      <c r="BL83" s="10"/>
      <c r="BP83" s="10"/>
      <c r="CH83"/>
      <c r="CI83"/>
      <c r="CJ83"/>
      <c r="CK83"/>
      <c r="CL83"/>
    </row>
    <row r="84" spans="21:90" ht="22.5">
      <c r="U84" s="10"/>
      <c r="V84" s="10"/>
      <c r="W84" s="10"/>
      <c r="X84" s="10"/>
      <c r="Y84" s="10"/>
      <c r="Z84" s="8"/>
      <c r="AB84" s="10"/>
      <c r="AC84" s="10"/>
      <c r="AE84" s="10"/>
      <c r="AF84"/>
      <c r="AJ84" s="10"/>
      <c r="AR84"/>
      <c r="AV84" s="10"/>
      <c r="BA84"/>
      <c r="BG84"/>
      <c r="BH84" s="10"/>
      <c r="BI84" s="10"/>
      <c r="BK84"/>
      <c r="BL84" s="10"/>
      <c r="BM84" s="77" t="str">
        <f>$BM$3</f>
        <v>Bulletin Fiscal Year</v>
      </c>
      <c r="BP84" s="10"/>
      <c r="CH84"/>
      <c r="CI84"/>
      <c r="CJ84"/>
      <c r="CK84"/>
      <c r="CL84"/>
    </row>
    <row r="85" spans="21:90">
      <c r="U85" s="10"/>
      <c r="V85" s="10"/>
      <c r="W85" s="10"/>
      <c r="X85" s="10"/>
      <c r="Y85" s="10"/>
      <c r="Z85" s="8"/>
      <c r="AB85" s="10"/>
      <c r="AC85" s="10"/>
      <c r="AE85" s="10"/>
      <c r="AF85"/>
      <c r="AJ85" s="10"/>
      <c r="AR85"/>
      <c r="AV85" s="10"/>
      <c r="BA85"/>
      <c r="BG85"/>
      <c r="BH85" s="10"/>
      <c r="BI85" s="10"/>
      <c r="BK85"/>
      <c r="BL85" s="10"/>
      <c r="BM85" s="78">
        <v>2012</v>
      </c>
      <c r="BP85" s="10"/>
      <c r="CH85"/>
      <c r="CI85"/>
      <c r="CJ85"/>
      <c r="CK85"/>
      <c r="CL85"/>
    </row>
    <row r="86" spans="21:90">
      <c r="U86" s="10"/>
      <c r="V86" s="10"/>
      <c r="W86" s="10"/>
      <c r="X86" s="10"/>
      <c r="Y86" s="10"/>
      <c r="Z86" s="8"/>
      <c r="AB86" s="10"/>
      <c r="AC86" s="10"/>
      <c r="AE86" s="10"/>
      <c r="AF86"/>
      <c r="AJ86" s="10"/>
      <c r="AR86"/>
      <c r="AV86" s="10"/>
      <c r="BA86"/>
      <c r="BG86"/>
      <c r="BH86" s="10"/>
      <c r="BI86" s="10"/>
      <c r="BK86"/>
      <c r="BL86" s="10"/>
      <c r="BP86" s="10"/>
      <c r="CH86"/>
      <c r="CI86"/>
      <c r="CJ86"/>
      <c r="CK86"/>
      <c r="CL86"/>
    </row>
    <row r="87" spans="21:90" ht="22.5">
      <c r="U87" s="10"/>
      <c r="V87" s="10"/>
      <c r="W87" s="10"/>
      <c r="X87" s="10"/>
      <c r="Y87" s="10"/>
      <c r="Z87" s="8"/>
      <c r="AB87" s="10"/>
      <c r="AC87" s="10"/>
      <c r="AE87" s="10"/>
      <c r="AF87"/>
      <c r="AJ87" s="10"/>
      <c r="AR87"/>
      <c r="AV87" s="10"/>
      <c r="BA87"/>
      <c r="BG87"/>
      <c r="BH87" s="10"/>
      <c r="BI87" s="10"/>
      <c r="BK87"/>
      <c r="BL87" s="10"/>
      <c r="BM87" s="77" t="str">
        <f>$BM$3</f>
        <v>Bulletin Fiscal Year</v>
      </c>
      <c r="BP87" s="10"/>
      <c r="CH87"/>
      <c r="CI87"/>
      <c r="CJ87"/>
      <c r="CK87"/>
      <c r="CL87"/>
    </row>
    <row r="88" spans="21:90">
      <c r="U88" s="10"/>
      <c r="V88" s="10"/>
      <c r="W88" s="10"/>
      <c r="X88" s="10"/>
      <c r="Y88" s="10"/>
      <c r="Z88" s="8"/>
      <c r="AB88" s="10"/>
      <c r="AC88" s="10"/>
      <c r="AE88" s="10"/>
      <c r="AF88"/>
      <c r="AJ88" s="10"/>
      <c r="AR88"/>
      <c r="AV88" s="10"/>
      <c r="BA88"/>
      <c r="BG88"/>
      <c r="BH88" s="10"/>
      <c r="BI88" s="10"/>
      <c r="BK88"/>
      <c r="BL88" s="10"/>
      <c r="BM88" s="78">
        <v>2013</v>
      </c>
      <c r="BP88" s="10"/>
      <c r="CH88"/>
      <c r="CI88"/>
      <c r="CJ88"/>
      <c r="CK88"/>
      <c r="CL88"/>
    </row>
    <row r="89" spans="21:90">
      <c r="U89" s="10"/>
      <c r="V89" s="10"/>
      <c r="W89" s="10"/>
      <c r="X89" s="10"/>
      <c r="Y89" s="10"/>
      <c r="Z89" s="8"/>
      <c r="AB89" s="10"/>
      <c r="AC89" s="10"/>
      <c r="AE89" s="10"/>
      <c r="AF89"/>
      <c r="AJ89" s="10"/>
      <c r="AR89"/>
      <c r="AV89" s="10"/>
      <c r="BA89"/>
      <c r="BG89"/>
      <c r="BH89" s="10"/>
      <c r="BI89" s="10"/>
      <c r="BK89"/>
      <c r="BL89" s="10"/>
      <c r="BP89" s="10"/>
      <c r="CH89"/>
      <c r="CI89"/>
      <c r="CJ89"/>
      <c r="CK89"/>
      <c r="CL89"/>
    </row>
    <row r="90" spans="21:90" ht="22.5">
      <c r="U90" s="10"/>
      <c r="V90" s="10"/>
      <c r="W90" s="10"/>
      <c r="X90" s="10"/>
      <c r="Y90" s="10"/>
      <c r="Z90" s="8"/>
      <c r="AB90" s="10"/>
      <c r="AC90" s="10"/>
      <c r="AE90" s="10"/>
      <c r="AF90"/>
      <c r="AJ90" s="10"/>
      <c r="AR90"/>
      <c r="AV90" s="10"/>
      <c r="BA90"/>
      <c r="BG90"/>
      <c r="BH90" s="10"/>
      <c r="BM90" s="77" t="s">
        <v>28</v>
      </c>
      <c r="BO90" s="10"/>
      <c r="CH90"/>
      <c r="CI90"/>
      <c r="CJ90"/>
      <c r="CK90"/>
    </row>
    <row r="91" spans="21:90">
      <c r="U91" s="10"/>
      <c r="V91" s="10"/>
      <c r="W91" s="10"/>
      <c r="X91" s="10"/>
      <c r="Y91" s="10"/>
      <c r="Z91" s="8"/>
      <c r="AB91" s="10"/>
      <c r="AC91" s="10"/>
      <c r="AE91" s="10"/>
      <c r="AF91"/>
      <c r="AJ91" s="10"/>
      <c r="AR91"/>
      <c r="AV91" s="10"/>
      <c r="BA91"/>
      <c r="BG91"/>
      <c r="BH91" s="10"/>
      <c r="BM91" s="311">
        <v>2014</v>
      </c>
      <c r="BO91" s="10"/>
      <c r="CH91"/>
      <c r="CI91"/>
      <c r="CJ91"/>
      <c r="CK91"/>
    </row>
    <row r="92" spans="21:90">
      <c r="U92" s="10"/>
      <c r="V92" s="10"/>
      <c r="W92" s="10"/>
      <c r="X92" s="10"/>
      <c r="Y92" s="10"/>
      <c r="Z92" s="8"/>
      <c r="AB92" s="10"/>
      <c r="AC92" s="10"/>
      <c r="AE92" s="10"/>
      <c r="AF92"/>
      <c r="AJ92" s="10"/>
      <c r="AR92"/>
      <c r="AV92" s="10"/>
      <c r="BA92"/>
      <c r="BG92"/>
      <c r="BH92" s="10"/>
      <c r="BO92" s="10"/>
      <c r="CH92"/>
      <c r="CI92"/>
      <c r="CJ92"/>
      <c r="CK92"/>
    </row>
    <row r="93" spans="21:90" ht="22.5">
      <c r="U93" s="10"/>
      <c r="V93" s="10"/>
      <c r="W93" s="10"/>
      <c r="X93" s="10"/>
      <c r="Y93" s="10"/>
      <c r="Z93" s="8"/>
      <c r="AB93" s="10"/>
      <c r="AC93" s="10"/>
      <c r="AE93" s="10"/>
      <c r="AF93"/>
      <c r="AJ93" s="10"/>
      <c r="AR93"/>
      <c r="AV93" s="10"/>
      <c r="BA93"/>
      <c r="BG93"/>
      <c r="BH93" s="10"/>
      <c r="BM93" s="77" t="s">
        <v>28</v>
      </c>
      <c r="BO93" s="10"/>
      <c r="CH93"/>
      <c r="CI93"/>
      <c r="CJ93"/>
      <c r="CK93"/>
    </row>
    <row r="94" spans="21:90">
      <c r="U94" s="10"/>
      <c r="V94" s="10"/>
      <c r="W94" s="10"/>
      <c r="X94" s="10"/>
      <c r="Y94" s="10"/>
      <c r="Z94" s="8"/>
      <c r="AB94" s="10"/>
      <c r="AC94" s="10"/>
      <c r="AE94" s="10"/>
      <c r="AF94"/>
      <c r="AJ94" s="10"/>
      <c r="AR94"/>
      <c r="AV94" s="10"/>
      <c r="BA94"/>
      <c r="BG94"/>
      <c r="BH94" s="10"/>
      <c r="BM94" s="311">
        <v>2015</v>
      </c>
      <c r="BO94" s="10"/>
      <c r="CH94"/>
      <c r="CI94"/>
      <c r="CJ94"/>
      <c r="CK94"/>
    </row>
    <row r="95" spans="21:90">
      <c r="U95" s="10"/>
      <c r="V95" s="10"/>
      <c r="W95" s="10"/>
      <c r="X95" s="10"/>
      <c r="Y95" s="10"/>
      <c r="Z95" s="8"/>
      <c r="AB95" s="10"/>
      <c r="AC95" s="10"/>
      <c r="AE95" s="10"/>
      <c r="AF95"/>
      <c r="AJ95" s="10"/>
      <c r="AR95"/>
      <c r="AV95" s="10"/>
      <c r="BA95"/>
      <c r="BG95"/>
      <c r="BH95" s="10"/>
      <c r="BO95" s="10"/>
      <c r="CH95"/>
      <c r="CI95"/>
      <c r="CJ95"/>
      <c r="CK95"/>
    </row>
    <row r="96" spans="21:90" ht="22.5">
      <c r="U96" s="10"/>
      <c r="V96" s="10"/>
      <c r="W96" s="10"/>
      <c r="X96" s="10"/>
      <c r="Y96" s="10"/>
      <c r="Z96" s="8"/>
      <c r="AB96" s="10"/>
      <c r="AC96" s="10"/>
      <c r="AE96" s="10"/>
      <c r="AF96"/>
      <c r="AJ96" s="10"/>
      <c r="AR96"/>
      <c r="AV96" s="10"/>
      <c r="BA96"/>
      <c r="BG96"/>
      <c r="BH96" s="10"/>
      <c r="BM96" s="77" t="s">
        <v>28</v>
      </c>
      <c r="BO96" s="10"/>
      <c r="CH96"/>
      <c r="CI96"/>
      <c r="CJ96"/>
      <c r="CK96"/>
    </row>
    <row r="97" spans="21:89">
      <c r="U97" s="10"/>
      <c r="V97" s="10"/>
      <c r="W97" s="10"/>
      <c r="X97" s="10"/>
      <c r="Y97" s="10"/>
      <c r="Z97" s="8"/>
      <c r="AB97" s="10"/>
      <c r="AC97" s="10"/>
      <c r="AE97" s="10"/>
      <c r="AF97"/>
      <c r="AJ97" s="10"/>
      <c r="AR97"/>
      <c r="AV97" s="10"/>
      <c r="BA97"/>
      <c r="BG97"/>
      <c r="BH97" s="10"/>
      <c r="BM97" s="311">
        <v>2016</v>
      </c>
      <c r="BO97" s="10"/>
      <c r="CH97"/>
      <c r="CI97"/>
      <c r="CJ97"/>
      <c r="CK97"/>
    </row>
    <row r="98" spans="21:89">
      <c r="U98" s="10"/>
      <c r="V98" s="10"/>
      <c r="W98" s="10"/>
      <c r="X98" s="10"/>
      <c r="Y98" s="10"/>
      <c r="Z98" s="8"/>
      <c r="AB98" s="10"/>
      <c r="AC98" s="10"/>
      <c r="AE98" s="10"/>
      <c r="AF98"/>
      <c r="AJ98" s="10"/>
      <c r="AR98"/>
      <c r="AV98" s="10"/>
      <c r="BA98"/>
      <c r="BG98"/>
      <c r="BH98" s="10"/>
      <c r="BO98" s="10"/>
      <c r="CH98"/>
      <c r="CI98"/>
      <c r="CJ98"/>
      <c r="CK98"/>
    </row>
    <row r="99" spans="21:89" ht="22.5">
      <c r="U99" s="10"/>
      <c r="V99" s="10"/>
      <c r="W99" s="10"/>
      <c r="X99" s="10"/>
      <c r="Y99" s="10"/>
      <c r="Z99" s="8"/>
      <c r="AB99" s="10"/>
      <c r="AC99" s="10"/>
      <c r="AE99" s="10"/>
      <c r="AF99"/>
      <c r="AJ99" s="10"/>
      <c r="AR99"/>
      <c r="AV99" s="10"/>
      <c r="BA99"/>
      <c r="BG99"/>
      <c r="BH99" s="10"/>
      <c r="BM99" s="77" t="s">
        <v>28</v>
      </c>
      <c r="BO99" s="10"/>
      <c r="CH99"/>
      <c r="CI99"/>
      <c r="CJ99"/>
      <c r="CK99"/>
    </row>
    <row r="100" spans="21:89">
      <c r="U100" s="10"/>
      <c r="V100" s="10"/>
      <c r="W100" s="10"/>
      <c r="X100" s="10"/>
      <c r="Y100" s="10"/>
      <c r="Z100" s="8"/>
      <c r="AB100" s="10"/>
      <c r="AC100" s="10"/>
      <c r="AE100" s="10"/>
      <c r="AF100"/>
      <c r="AJ100" s="10"/>
      <c r="AR100"/>
      <c r="AV100" s="10"/>
      <c r="BA100"/>
      <c r="BG100"/>
      <c r="BH100" s="10"/>
      <c r="BM100" s="311">
        <v>2017</v>
      </c>
      <c r="BO100" s="10"/>
      <c r="CH100"/>
      <c r="CI100"/>
      <c r="CJ100"/>
      <c r="CK100"/>
    </row>
    <row r="101" spans="21:89">
      <c r="U101" s="10"/>
      <c r="V101" s="10"/>
      <c r="W101" s="10"/>
      <c r="X101" s="10"/>
      <c r="Y101" s="10"/>
      <c r="Z101" s="8"/>
      <c r="AB101" s="10"/>
      <c r="AC101" s="10"/>
      <c r="AE101" s="10"/>
      <c r="AF101"/>
      <c r="AJ101" s="10"/>
      <c r="AR101"/>
      <c r="AV101" s="10"/>
      <c r="BA101"/>
      <c r="BG101"/>
      <c r="BH101" s="10"/>
      <c r="BO101" s="10"/>
      <c r="CH101"/>
      <c r="CI101"/>
      <c r="CJ101"/>
      <c r="CK101"/>
    </row>
    <row r="102" spans="21:89" ht="22.5">
      <c r="U102" s="10"/>
      <c r="V102" s="10"/>
      <c r="W102" s="10"/>
      <c r="X102" s="10"/>
      <c r="Y102" s="10"/>
      <c r="Z102" s="8"/>
      <c r="AB102" s="10"/>
      <c r="AC102" s="10"/>
      <c r="AE102" s="10"/>
      <c r="AF102"/>
      <c r="AJ102" s="10"/>
      <c r="AR102"/>
      <c r="AV102" s="10"/>
      <c r="BA102"/>
      <c r="BG102"/>
      <c r="BH102" s="10"/>
      <c r="BM102" s="77" t="s">
        <v>28</v>
      </c>
      <c r="BO102" s="10"/>
      <c r="CH102"/>
      <c r="CI102"/>
      <c r="CJ102"/>
      <c r="CK102"/>
    </row>
    <row r="103" spans="21:89">
      <c r="U103" s="10"/>
      <c r="V103" s="10"/>
      <c r="W103" s="10"/>
      <c r="X103" s="10"/>
      <c r="Y103" s="10"/>
      <c r="Z103" s="8"/>
      <c r="AB103" s="10"/>
      <c r="AC103" s="10"/>
      <c r="AE103" s="10"/>
      <c r="AF103"/>
      <c r="AJ103" s="10"/>
      <c r="AR103"/>
      <c r="AV103" s="10"/>
      <c r="BA103"/>
      <c r="BG103"/>
      <c r="BH103" s="10"/>
      <c r="BM103" s="311">
        <v>2018</v>
      </c>
      <c r="BO103" s="10"/>
      <c r="CH103"/>
      <c r="CI103"/>
      <c r="CJ103"/>
      <c r="CK103"/>
    </row>
    <row r="104" spans="21:89">
      <c r="U104" s="10"/>
      <c r="V104" s="10"/>
      <c r="W104" s="10"/>
      <c r="X104" s="10"/>
      <c r="Y104" s="10"/>
      <c r="Z104" s="8"/>
      <c r="AB104" s="10"/>
      <c r="AC104" s="10"/>
      <c r="AE104" s="10"/>
      <c r="AF104"/>
      <c r="AJ104" s="10"/>
      <c r="AR104"/>
      <c r="AV104" s="10"/>
      <c r="BA104"/>
      <c r="BG104"/>
      <c r="BH104" s="10"/>
      <c r="BM104" s="298"/>
      <c r="BO104" s="10"/>
      <c r="CH104"/>
      <c r="CI104"/>
      <c r="CJ104"/>
      <c r="CK104"/>
    </row>
    <row r="105" spans="21:89" ht="22.5">
      <c r="U105" s="10"/>
      <c r="V105" s="10"/>
      <c r="W105" s="10"/>
      <c r="X105" s="10"/>
      <c r="Y105" s="10"/>
      <c r="Z105" s="8"/>
      <c r="AB105" s="10"/>
      <c r="AC105" s="10"/>
      <c r="AE105" s="10"/>
      <c r="AF105"/>
      <c r="AJ105" s="10"/>
      <c r="AR105"/>
      <c r="AV105" s="10"/>
      <c r="BA105"/>
      <c r="BG105"/>
      <c r="BH105" s="10"/>
      <c r="BM105" s="77" t="s">
        <v>28</v>
      </c>
      <c r="BO105" s="10"/>
      <c r="CH105"/>
      <c r="CI105"/>
      <c r="CJ105"/>
      <c r="CK105"/>
    </row>
    <row r="106" spans="21:89">
      <c r="U106" s="10"/>
      <c r="V106" s="10"/>
      <c r="W106" s="10"/>
      <c r="X106" s="10"/>
      <c r="Y106" s="10"/>
      <c r="Z106" s="8"/>
      <c r="AB106" s="10"/>
      <c r="AC106" s="10"/>
      <c r="AE106" s="10"/>
      <c r="AF106"/>
      <c r="AJ106" s="10"/>
      <c r="AR106"/>
      <c r="AV106" s="10"/>
      <c r="BA106"/>
      <c r="BG106"/>
      <c r="BH106" s="10"/>
      <c r="BM106" s="311">
        <v>2019</v>
      </c>
      <c r="BO106" s="10"/>
      <c r="CH106"/>
      <c r="CI106"/>
      <c r="CJ106"/>
      <c r="CK106"/>
    </row>
    <row r="107" spans="21:89">
      <c r="U107" s="10"/>
      <c r="V107" s="10"/>
      <c r="W107" s="10"/>
      <c r="X107" s="10"/>
      <c r="Y107" s="10"/>
      <c r="Z107" s="8"/>
      <c r="AB107" s="10"/>
      <c r="AC107" s="10"/>
      <c r="AE107" s="10"/>
      <c r="AF107"/>
      <c r="AJ107" s="10"/>
      <c r="AR107"/>
      <c r="AV107" s="10"/>
      <c r="BA107"/>
      <c r="BG107"/>
      <c r="BH107" s="10"/>
      <c r="BM107" s="298"/>
      <c r="BO107" s="10"/>
      <c r="CH107"/>
      <c r="CI107"/>
      <c r="CJ107"/>
      <c r="CK107"/>
    </row>
    <row r="108" spans="21:89" ht="22.5">
      <c r="U108" s="10"/>
      <c r="V108" s="10"/>
      <c r="W108" s="10"/>
      <c r="X108" s="10"/>
      <c r="Y108" s="10"/>
      <c r="Z108" s="8"/>
      <c r="AB108" s="10"/>
      <c r="AC108" s="10"/>
      <c r="AE108" s="10"/>
      <c r="AF108"/>
      <c r="AJ108" s="10"/>
      <c r="AR108"/>
      <c r="AV108" s="10"/>
      <c r="BA108"/>
      <c r="BG108"/>
      <c r="BH108" s="10"/>
      <c r="BM108" s="77" t="s">
        <v>28</v>
      </c>
      <c r="BO108" s="10"/>
      <c r="CH108"/>
      <c r="CI108"/>
      <c r="CJ108"/>
      <c r="CK108"/>
    </row>
    <row r="109" spans="21:89">
      <c r="U109" s="10"/>
      <c r="V109" s="10"/>
      <c r="W109" s="10"/>
      <c r="X109" s="10"/>
      <c r="Y109" s="10"/>
      <c r="Z109" s="8"/>
      <c r="AB109" s="10"/>
      <c r="AC109" s="10"/>
      <c r="AE109" s="10"/>
      <c r="AF109"/>
      <c r="AJ109" s="10"/>
      <c r="AR109"/>
      <c r="AV109" s="10"/>
      <c r="BA109"/>
      <c r="BG109"/>
      <c r="BH109" s="10"/>
      <c r="BM109" s="311">
        <v>2020</v>
      </c>
      <c r="BO109" s="10"/>
      <c r="CH109"/>
      <c r="CI109"/>
      <c r="CJ109"/>
      <c r="CK109"/>
    </row>
    <row r="110" spans="21:89">
      <c r="U110" s="10"/>
      <c r="V110" s="10"/>
      <c r="W110" s="10"/>
      <c r="X110" s="10"/>
      <c r="Y110" s="10"/>
      <c r="Z110" s="8"/>
      <c r="AB110" s="10"/>
      <c r="AC110" s="10"/>
      <c r="AE110" s="10"/>
      <c r="AF110"/>
      <c r="AJ110" s="10"/>
      <c r="AR110"/>
      <c r="AV110" s="10"/>
      <c r="BA110"/>
      <c r="BG110"/>
      <c r="BH110" s="10"/>
      <c r="BO110" s="10"/>
      <c r="CH110"/>
      <c r="CI110"/>
      <c r="CJ110"/>
      <c r="CK110"/>
    </row>
    <row r="111" spans="21:89">
      <c r="U111" s="10"/>
      <c r="V111" s="10"/>
      <c r="W111" s="10"/>
      <c r="X111" s="10"/>
      <c r="Y111" s="10"/>
      <c r="Z111" s="8"/>
      <c r="AB111" s="10"/>
      <c r="AC111" s="10"/>
      <c r="AE111" s="10"/>
      <c r="AF111"/>
      <c r="AJ111" s="10"/>
      <c r="AR111"/>
      <c r="AV111" s="10"/>
      <c r="BA111"/>
      <c r="BG111"/>
      <c r="BH111" s="10"/>
      <c r="BO111" s="10"/>
      <c r="CH111"/>
      <c r="CI111"/>
      <c r="CJ111"/>
      <c r="CK111"/>
    </row>
    <row r="112" spans="21:89">
      <c r="U112" s="10"/>
      <c r="V112" s="10"/>
      <c r="W112" s="10"/>
      <c r="X112" s="10"/>
      <c r="Y112" s="10"/>
      <c r="Z112" s="8"/>
      <c r="AB112" s="10"/>
      <c r="AC112" s="10"/>
      <c r="AE112" s="10"/>
      <c r="AF112"/>
      <c r="AJ112" s="10"/>
      <c r="AR112"/>
      <c r="AV112" s="10"/>
      <c r="BA112"/>
      <c r="BG112"/>
      <c r="BH112" s="10"/>
      <c r="BO112" s="10"/>
      <c r="CH112"/>
      <c r="CI112"/>
      <c r="CJ112"/>
      <c r="CK112"/>
    </row>
    <row r="113" spans="21:89">
      <c r="U113" s="10"/>
      <c r="V113" s="10"/>
      <c r="W113" s="10"/>
      <c r="X113" s="10"/>
      <c r="Y113" s="10"/>
      <c r="Z113" s="8"/>
      <c r="AB113" s="10"/>
      <c r="AC113" s="10"/>
      <c r="AE113" s="10"/>
      <c r="AF113"/>
      <c r="AJ113" s="10"/>
      <c r="AR113"/>
      <c r="AV113" s="10"/>
      <c r="BA113"/>
      <c r="BG113"/>
      <c r="BH113" s="10"/>
      <c r="BO113" s="10"/>
      <c r="CH113"/>
      <c r="CI113"/>
      <c r="CJ113"/>
      <c r="CK113"/>
    </row>
    <row r="114" spans="21:89">
      <c r="U114" s="10"/>
      <c r="V114" s="10"/>
      <c r="W114" s="10"/>
      <c r="X114" s="10"/>
      <c r="Y114" s="10"/>
      <c r="Z114" s="8"/>
      <c r="AB114" s="10"/>
      <c r="AC114" s="10"/>
      <c r="AE114" s="10"/>
      <c r="AF114"/>
      <c r="AJ114" s="10"/>
      <c r="AR114"/>
      <c r="AV114" s="10"/>
      <c r="BA114"/>
      <c r="BG114"/>
      <c r="BH114" s="10"/>
      <c r="BO114" s="10"/>
      <c r="CH114"/>
      <c r="CI114"/>
      <c r="CJ114"/>
      <c r="CK114"/>
    </row>
    <row r="115" spans="21:89">
      <c r="U115" s="10"/>
      <c r="V115" s="10"/>
      <c r="W115" s="10"/>
      <c r="X115" s="10"/>
      <c r="Y115" s="10"/>
      <c r="Z115" s="8"/>
      <c r="AB115" s="10"/>
      <c r="AC115" s="10"/>
      <c r="AE115" s="10"/>
      <c r="AF115"/>
      <c r="AJ115" s="10"/>
      <c r="AR115"/>
      <c r="AV115" s="10"/>
      <c r="BA115"/>
      <c r="BG115"/>
      <c r="BH115" s="10"/>
      <c r="BO115" s="10"/>
      <c r="CH115"/>
      <c r="CI115"/>
      <c r="CJ115"/>
      <c r="CK115"/>
    </row>
    <row r="116" spans="21:89">
      <c r="U116" s="10"/>
      <c r="V116" s="10"/>
      <c r="W116" s="10"/>
      <c r="X116" s="10"/>
      <c r="Y116" s="10"/>
      <c r="Z116" s="8"/>
      <c r="AB116" s="10"/>
      <c r="AC116" s="10"/>
      <c r="AE116" s="10"/>
      <c r="AF116"/>
      <c r="AJ116" s="10"/>
      <c r="AR116"/>
      <c r="AV116" s="10"/>
      <c r="BA116"/>
      <c r="BG116"/>
      <c r="BH116" s="10"/>
      <c r="BO116" s="10"/>
      <c r="CH116"/>
      <c r="CI116"/>
      <c r="CJ116"/>
      <c r="CK116"/>
    </row>
    <row r="117" spans="21:89">
      <c r="U117" s="10"/>
      <c r="V117" s="10"/>
      <c r="W117" s="10"/>
      <c r="X117" s="10"/>
      <c r="Y117" s="10"/>
      <c r="Z117" s="8"/>
      <c r="AB117" s="10"/>
      <c r="AC117" s="10"/>
      <c r="AE117" s="10"/>
      <c r="AF117"/>
      <c r="AJ117" s="10"/>
      <c r="AR117"/>
      <c r="AV117" s="10"/>
      <c r="BA117"/>
      <c r="BG117"/>
      <c r="BH117" s="10"/>
      <c r="BO117" s="10"/>
      <c r="CH117"/>
      <c r="CI117"/>
      <c r="CJ117"/>
      <c r="CK117"/>
    </row>
    <row r="118" spans="21:89">
      <c r="U118" s="10"/>
      <c r="V118" s="10"/>
      <c r="W118" s="10"/>
      <c r="X118" s="10"/>
      <c r="Y118" s="10"/>
      <c r="Z118" s="8"/>
      <c r="AB118" s="10"/>
      <c r="AC118" s="10"/>
      <c r="AE118" s="10"/>
      <c r="AF118"/>
      <c r="AJ118" s="10"/>
      <c r="AR118"/>
      <c r="AV118" s="10"/>
      <c r="BA118"/>
      <c r="BG118"/>
      <c r="BH118" s="10"/>
      <c r="BO118" s="10"/>
      <c r="CH118"/>
      <c r="CI118"/>
      <c r="CJ118"/>
      <c r="CK118"/>
    </row>
    <row r="119" spans="21:89">
      <c r="U119" s="10"/>
      <c r="V119" s="10"/>
      <c r="W119" s="10"/>
      <c r="X119" s="10"/>
      <c r="Y119" s="10"/>
      <c r="Z119" s="8"/>
      <c r="AB119" s="10"/>
      <c r="AC119" s="10"/>
      <c r="AE119" s="10"/>
      <c r="AF119"/>
      <c r="AJ119" s="10"/>
      <c r="AR119"/>
      <c r="AV119" s="10"/>
      <c r="BA119"/>
      <c r="BG119"/>
      <c r="BH119" s="10"/>
      <c r="BO119" s="10"/>
      <c r="CH119"/>
      <c r="CI119"/>
      <c r="CJ119"/>
      <c r="CK119"/>
    </row>
    <row r="120" spans="21:89">
      <c r="U120" s="10"/>
      <c r="V120" s="10"/>
      <c r="W120" s="10"/>
      <c r="X120" s="10"/>
      <c r="Y120" s="10"/>
      <c r="Z120" s="8"/>
      <c r="AB120" s="10"/>
      <c r="AC120" s="10"/>
      <c r="AE120" s="10"/>
      <c r="AF120"/>
      <c r="AJ120" s="10"/>
      <c r="AR120"/>
      <c r="AV120" s="10"/>
      <c r="BA120"/>
      <c r="BG120"/>
      <c r="BH120" s="10"/>
      <c r="BO120" s="10"/>
      <c r="CH120"/>
      <c r="CI120"/>
      <c r="CJ120"/>
      <c r="CK120"/>
    </row>
    <row r="121" spans="21:89">
      <c r="U121" s="10"/>
      <c r="V121" s="10"/>
      <c r="W121" s="10"/>
      <c r="X121" s="10"/>
      <c r="Y121" s="10"/>
      <c r="Z121" s="8"/>
      <c r="AB121" s="10"/>
      <c r="AC121" s="10"/>
      <c r="AE121" s="10"/>
      <c r="AF121"/>
      <c r="AJ121" s="10"/>
      <c r="AR121"/>
      <c r="AV121" s="10"/>
      <c r="BA121"/>
      <c r="BG121"/>
      <c r="BH121" s="10"/>
      <c r="BO121" s="10"/>
      <c r="CH121"/>
      <c r="CI121"/>
      <c r="CJ121"/>
      <c r="CK121"/>
    </row>
    <row r="122" spans="21:89">
      <c r="U122" s="10"/>
      <c r="V122" s="10"/>
      <c r="W122" s="10"/>
      <c r="X122" s="10"/>
      <c r="Y122" s="10"/>
      <c r="Z122" s="8"/>
      <c r="AB122" s="10"/>
      <c r="AC122" s="10"/>
      <c r="AE122" s="10"/>
      <c r="AF122"/>
      <c r="AJ122" s="10"/>
      <c r="AR122"/>
      <c r="AV122" s="10"/>
      <c r="BA122"/>
      <c r="BG122"/>
      <c r="BH122" s="10"/>
      <c r="BO122" s="10"/>
      <c r="CH122"/>
      <c r="CI122"/>
      <c r="CJ122"/>
      <c r="CK122"/>
    </row>
    <row r="123" spans="21:89">
      <c r="U123" s="10"/>
      <c r="V123" s="10"/>
      <c r="W123" s="10"/>
      <c r="X123" s="10"/>
      <c r="Y123" s="10"/>
      <c r="Z123" s="8"/>
      <c r="AB123" s="10"/>
      <c r="AC123" s="10"/>
      <c r="AE123" s="10"/>
      <c r="AF123"/>
      <c r="AJ123" s="10"/>
      <c r="AR123"/>
      <c r="AV123" s="10"/>
      <c r="BA123"/>
      <c r="BG123"/>
      <c r="BH123" s="10"/>
      <c r="BO123" s="10"/>
      <c r="CH123"/>
      <c r="CI123"/>
      <c r="CJ123"/>
      <c r="CK123"/>
    </row>
    <row r="124" spans="21:89">
      <c r="U124" s="10"/>
      <c r="V124" s="10"/>
      <c r="W124" s="10"/>
      <c r="X124" s="10"/>
      <c r="Y124" s="10"/>
      <c r="Z124" s="8"/>
      <c r="AB124" s="10"/>
      <c r="AC124" s="10"/>
      <c r="AE124" s="10"/>
      <c r="AF124"/>
      <c r="AJ124" s="10"/>
      <c r="AR124"/>
      <c r="AV124" s="10"/>
      <c r="BA124"/>
      <c r="BG124"/>
      <c r="BH124" s="10"/>
      <c r="BO124" s="10"/>
      <c r="CH124"/>
      <c r="CI124"/>
      <c r="CJ124"/>
      <c r="CK124"/>
    </row>
    <row r="125" spans="21:89">
      <c r="U125" s="10"/>
      <c r="V125" s="10"/>
      <c r="W125" s="10"/>
      <c r="X125" s="10"/>
      <c r="Y125" s="10"/>
      <c r="Z125" s="8"/>
      <c r="AB125" s="10"/>
      <c r="AC125" s="10"/>
      <c r="AE125" s="10"/>
      <c r="AF125"/>
      <c r="AJ125" s="10"/>
      <c r="AR125"/>
      <c r="AV125" s="10"/>
      <c r="BA125"/>
      <c r="BG125"/>
      <c r="BH125" s="10"/>
      <c r="BO125" s="10"/>
      <c r="CH125"/>
      <c r="CI125"/>
      <c r="CJ125"/>
      <c r="CK125"/>
    </row>
    <row r="126" spans="21:89">
      <c r="U126" s="10"/>
      <c r="V126" s="10"/>
      <c r="W126" s="10"/>
      <c r="X126" s="10"/>
      <c r="Y126" s="10"/>
      <c r="Z126" s="8"/>
      <c r="AB126" s="10"/>
      <c r="AC126" s="10"/>
      <c r="AE126" s="10"/>
      <c r="AF126"/>
      <c r="AJ126" s="10"/>
      <c r="AR126"/>
      <c r="AV126" s="10"/>
      <c r="BA126"/>
      <c r="BG126"/>
      <c r="BH126" s="10"/>
      <c r="BO126" s="10"/>
      <c r="CH126"/>
      <c r="CI126"/>
      <c r="CJ126"/>
      <c r="CK126"/>
    </row>
    <row r="127" spans="21:89">
      <c r="U127" s="10"/>
      <c r="V127" s="10"/>
      <c r="W127" s="10"/>
      <c r="X127" s="10"/>
      <c r="Y127" s="10"/>
      <c r="Z127" s="8"/>
      <c r="AB127" s="10"/>
      <c r="AC127" s="10"/>
      <c r="AE127" s="10"/>
      <c r="AF127"/>
      <c r="AJ127" s="10"/>
      <c r="AR127"/>
      <c r="AV127" s="10"/>
      <c r="BA127"/>
      <c r="BG127"/>
      <c r="BH127" s="10"/>
      <c r="BO127" s="10"/>
      <c r="CH127"/>
      <c r="CI127"/>
      <c r="CJ127"/>
      <c r="CK127"/>
    </row>
    <row r="128" spans="21:89">
      <c r="U128" s="10"/>
      <c r="V128" s="10"/>
      <c r="W128" s="10"/>
      <c r="X128" s="10"/>
      <c r="Y128" s="10"/>
      <c r="Z128" s="8"/>
      <c r="AB128" s="10"/>
      <c r="AC128" s="10"/>
      <c r="AE128" s="10"/>
      <c r="AF128"/>
      <c r="AJ128" s="10"/>
      <c r="AR128"/>
      <c r="AV128" s="10"/>
      <c r="BA128"/>
      <c r="BG128"/>
      <c r="BH128" s="10"/>
      <c r="BO128" s="10"/>
      <c r="CH128"/>
      <c r="CI128"/>
      <c r="CJ128"/>
      <c r="CK128"/>
    </row>
    <row r="129" spans="21:89">
      <c r="U129" s="10"/>
      <c r="V129" s="10"/>
      <c r="W129" s="10"/>
      <c r="X129" s="10"/>
      <c r="Y129" s="10"/>
      <c r="Z129" s="8"/>
      <c r="AB129" s="10"/>
      <c r="AC129" s="10"/>
      <c r="AE129" s="10"/>
      <c r="AF129"/>
      <c r="AJ129" s="10"/>
      <c r="AR129"/>
      <c r="AV129" s="10"/>
      <c r="BA129"/>
      <c r="BG129"/>
      <c r="BH129" s="10"/>
      <c r="BO129" s="10"/>
      <c r="CH129"/>
      <c r="CI129"/>
      <c r="CJ129"/>
      <c r="CK129"/>
    </row>
    <row r="130" spans="21:89">
      <c r="U130" s="10"/>
      <c r="V130" s="10"/>
      <c r="W130" s="10"/>
      <c r="X130" s="10"/>
      <c r="Y130" s="10"/>
      <c r="Z130" s="8"/>
      <c r="AB130" s="10"/>
      <c r="AC130" s="10"/>
      <c r="AE130" s="10"/>
      <c r="AF130"/>
      <c r="AJ130" s="10"/>
      <c r="AR130"/>
      <c r="AV130" s="10"/>
      <c r="BA130"/>
      <c r="BG130"/>
      <c r="BH130" s="10"/>
      <c r="BO130" s="10"/>
      <c r="CH130"/>
      <c r="CI130"/>
      <c r="CJ130"/>
      <c r="CK130"/>
    </row>
    <row r="131" spans="21:89">
      <c r="U131" s="10"/>
      <c r="V131" s="10"/>
      <c r="W131" s="10"/>
      <c r="X131" s="10"/>
      <c r="Y131" s="10"/>
      <c r="Z131" s="8"/>
      <c r="AB131" s="10"/>
      <c r="AC131" s="10"/>
      <c r="AE131" s="10"/>
      <c r="AF131"/>
      <c r="AJ131" s="10"/>
      <c r="AR131"/>
      <c r="AV131" s="10"/>
      <c r="BA131"/>
      <c r="BG131"/>
      <c r="BH131" s="10"/>
      <c r="BO131" s="10"/>
      <c r="CH131"/>
      <c r="CI131"/>
      <c r="CJ131"/>
      <c r="CK131"/>
    </row>
    <row r="132" spans="21:89">
      <c r="U132" s="10"/>
      <c r="V132" s="10"/>
      <c r="W132" s="10"/>
      <c r="X132" s="10"/>
      <c r="Y132" s="10"/>
      <c r="Z132" s="8"/>
      <c r="AB132" s="10"/>
      <c r="AC132" s="10"/>
      <c r="AE132" s="10"/>
      <c r="AF132"/>
      <c r="AJ132" s="10"/>
      <c r="AR132"/>
      <c r="AV132" s="10"/>
      <c r="BA132"/>
      <c r="BG132"/>
      <c r="BH132" s="10"/>
      <c r="BO132" s="10"/>
      <c r="CH132"/>
      <c r="CI132"/>
      <c r="CJ132"/>
      <c r="CK132"/>
    </row>
    <row r="133" spans="21:89">
      <c r="U133" s="10"/>
      <c r="V133" s="10"/>
      <c r="W133" s="10"/>
      <c r="X133" s="10"/>
      <c r="Y133" s="10"/>
      <c r="Z133" s="8"/>
      <c r="AB133" s="10"/>
      <c r="AC133" s="10"/>
      <c r="AE133" s="10"/>
      <c r="AF133"/>
      <c r="AJ133" s="10"/>
      <c r="AR133"/>
      <c r="AV133" s="10"/>
      <c r="BA133"/>
      <c r="BG133"/>
      <c r="BH133" s="10"/>
      <c r="BO133" s="10"/>
      <c r="CH133"/>
      <c r="CI133"/>
      <c r="CJ133"/>
      <c r="CK133"/>
    </row>
    <row r="134" spans="21:89">
      <c r="U134" s="10"/>
      <c r="V134" s="10"/>
      <c r="W134" s="10"/>
      <c r="X134" s="10"/>
      <c r="Y134" s="10"/>
      <c r="Z134" s="8"/>
      <c r="AB134" s="10"/>
      <c r="AC134" s="10"/>
      <c r="AE134" s="10"/>
      <c r="AF134"/>
      <c r="AJ134" s="10"/>
      <c r="AR134"/>
      <c r="AV134" s="10"/>
      <c r="BA134"/>
      <c r="BG134"/>
      <c r="BH134" s="10"/>
      <c r="BO134" s="10"/>
      <c r="CH134"/>
      <c r="CI134"/>
      <c r="CJ134"/>
      <c r="CK134"/>
    </row>
    <row r="135" spans="21:89">
      <c r="U135" s="10"/>
      <c r="V135" s="10"/>
      <c r="W135" s="10"/>
      <c r="X135" s="10"/>
      <c r="Y135" s="10"/>
      <c r="Z135" s="8"/>
      <c r="AB135" s="10"/>
      <c r="AC135" s="10"/>
      <c r="AE135" s="10"/>
      <c r="AF135"/>
      <c r="AJ135" s="10"/>
      <c r="AR135"/>
      <c r="AV135" s="10"/>
      <c r="BA135"/>
      <c r="BG135"/>
      <c r="BH135" s="10"/>
      <c r="BO135" s="10"/>
      <c r="CH135"/>
      <c r="CI135"/>
      <c r="CJ135"/>
      <c r="CK135"/>
    </row>
    <row r="136" spans="21:89">
      <c r="U136" s="10"/>
      <c r="V136" s="10"/>
      <c r="W136" s="10"/>
      <c r="X136" s="10"/>
      <c r="Y136" s="10"/>
      <c r="Z136" s="8"/>
      <c r="AB136" s="10"/>
      <c r="AC136" s="10"/>
      <c r="AE136" s="10"/>
      <c r="AF136"/>
      <c r="AJ136" s="10"/>
      <c r="AR136"/>
      <c r="AV136" s="10"/>
      <c r="BA136"/>
      <c r="BG136"/>
      <c r="BH136" s="10"/>
      <c r="BO136" s="10"/>
      <c r="CH136"/>
      <c r="CI136"/>
      <c r="CJ136"/>
      <c r="CK136"/>
    </row>
    <row r="137" spans="21:89">
      <c r="U137" s="10"/>
      <c r="V137" s="10"/>
      <c r="W137" s="10"/>
      <c r="X137" s="10"/>
      <c r="Y137" s="10"/>
      <c r="Z137" s="8"/>
      <c r="AB137" s="10"/>
      <c r="AC137" s="10"/>
      <c r="AE137" s="10"/>
      <c r="AF137"/>
      <c r="AJ137" s="10"/>
      <c r="AR137"/>
      <c r="AV137" s="10"/>
      <c r="BA137"/>
      <c r="BG137"/>
      <c r="BH137" s="10"/>
      <c r="BO137" s="10"/>
      <c r="CH137"/>
      <c r="CI137"/>
      <c r="CJ137"/>
      <c r="CK137"/>
    </row>
    <row r="138" spans="21:89">
      <c r="U138" s="10"/>
      <c r="V138" s="10"/>
      <c r="W138" s="10"/>
      <c r="X138" s="10"/>
      <c r="Y138" s="10"/>
      <c r="Z138" s="8"/>
      <c r="AB138" s="10"/>
      <c r="AC138" s="10"/>
      <c r="AE138" s="10"/>
      <c r="AF138"/>
      <c r="AJ138" s="10"/>
      <c r="AR138"/>
      <c r="AV138" s="10"/>
      <c r="BA138"/>
      <c r="BG138"/>
      <c r="BH138" s="10"/>
      <c r="BO138" s="10"/>
      <c r="CH138"/>
      <c r="CI138"/>
      <c r="CJ138"/>
      <c r="CK138"/>
    </row>
    <row r="139" spans="21:89">
      <c r="U139" s="10"/>
      <c r="V139" s="10"/>
      <c r="W139" s="10"/>
      <c r="X139" s="10"/>
      <c r="Y139" s="10"/>
      <c r="Z139" s="8"/>
      <c r="AB139" s="10"/>
      <c r="AC139" s="10"/>
      <c r="AE139" s="10"/>
      <c r="AF139"/>
      <c r="AJ139" s="10"/>
      <c r="AR139"/>
      <c r="AV139" s="10"/>
      <c r="BA139"/>
      <c r="BG139"/>
      <c r="BH139" s="10"/>
      <c r="BO139" s="10"/>
      <c r="CH139"/>
      <c r="CI139"/>
      <c r="CJ139"/>
      <c r="CK139"/>
    </row>
    <row r="140" spans="21:89">
      <c r="U140" s="10"/>
      <c r="V140" s="10"/>
      <c r="W140" s="10"/>
      <c r="X140" s="10"/>
      <c r="Y140" s="10"/>
      <c r="Z140" s="8"/>
      <c r="AB140" s="10"/>
      <c r="AC140" s="10"/>
      <c r="AE140" s="10"/>
      <c r="AF140"/>
      <c r="AJ140" s="10"/>
      <c r="AR140"/>
      <c r="AV140" s="10"/>
      <c r="BA140"/>
      <c r="BG140"/>
      <c r="BH140" s="10"/>
      <c r="BO140" s="10"/>
      <c r="CH140"/>
      <c r="CI140"/>
      <c r="CJ140"/>
      <c r="CK140"/>
    </row>
    <row r="141" spans="21:89">
      <c r="U141" s="10"/>
      <c r="V141" s="10"/>
      <c r="W141" s="10"/>
      <c r="X141" s="10"/>
      <c r="Y141" s="10"/>
      <c r="Z141" s="8"/>
      <c r="AB141" s="10"/>
      <c r="AC141" s="10"/>
      <c r="AE141" s="10"/>
      <c r="AF141"/>
      <c r="AJ141" s="10"/>
      <c r="AR141"/>
      <c r="AV141" s="10"/>
      <c r="BA141"/>
      <c r="BG141"/>
      <c r="BH141" s="10"/>
      <c r="BO141" s="10"/>
      <c r="CH141"/>
      <c r="CI141"/>
      <c r="CJ141"/>
      <c r="CK141"/>
    </row>
    <row r="142" spans="21:89">
      <c r="U142" s="10"/>
      <c r="V142" s="10"/>
      <c r="W142" s="10"/>
      <c r="X142" s="10"/>
      <c r="Y142" s="10"/>
      <c r="Z142" s="8"/>
      <c r="AB142" s="10"/>
      <c r="AC142" s="10"/>
      <c r="AE142" s="10"/>
      <c r="AF142"/>
      <c r="AJ142" s="10"/>
      <c r="AR142"/>
      <c r="AV142" s="10"/>
      <c r="BA142"/>
      <c r="BG142"/>
      <c r="BH142" s="10"/>
      <c r="BO142" s="10"/>
      <c r="CH142"/>
      <c r="CI142"/>
      <c r="CJ142"/>
      <c r="CK142"/>
    </row>
    <row r="143" spans="21:89">
      <c r="U143" s="10"/>
      <c r="V143" s="10"/>
      <c r="W143" s="10"/>
      <c r="X143" s="10"/>
      <c r="Y143" s="10"/>
      <c r="Z143" s="8"/>
      <c r="AB143" s="10"/>
      <c r="AC143" s="10"/>
      <c r="AE143" s="10"/>
      <c r="AF143"/>
      <c r="AJ143" s="10"/>
      <c r="AR143"/>
      <c r="AV143" s="10"/>
      <c r="BA143"/>
      <c r="BG143"/>
      <c r="BH143" s="10"/>
      <c r="BO143" s="10"/>
      <c r="CH143"/>
      <c r="CI143"/>
      <c r="CJ143"/>
      <c r="CK143"/>
    </row>
    <row r="144" spans="21:89">
      <c r="U144" s="10"/>
      <c r="V144" s="10"/>
      <c r="W144" s="10"/>
      <c r="X144" s="10"/>
      <c r="Y144" s="10"/>
      <c r="Z144" s="8"/>
      <c r="AB144" s="10"/>
      <c r="AC144" s="10"/>
      <c r="AE144" s="10"/>
      <c r="AF144"/>
      <c r="AJ144" s="10"/>
      <c r="AR144"/>
      <c r="AV144" s="10"/>
      <c r="BA144"/>
      <c r="BG144"/>
      <c r="BH144" s="10"/>
      <c r="BO144" s="10"/>
      <c r="CH144"/>
      <c r="CI144"/>
      <c r="CJ144"/>
      <c r="CK144"/>
    </row>
    <row r="145" spans="21:89">
      <c r="U145" s="10"/>
      <c r="V145" s="10"/>
      <c r="W145" s="10"/>
      <c r="X145" s="10"/>
      <c r="Y145" s="10"/>
      <c r="Z145" s="8"/>
      <c r="AB145" s="10"/>
      <c r="AC145" s="10"/>
      <c r="AE145" s="10"/>
      <c r="AF145"/>
      <c r="AJ145" s="10"/>
      <c r="AR145"/>
      <c r="AV145" s="10"/>
      <c r="BA145"/>
      <c r="BG145"/>
      <c r="BH145" s="10"/>
      <c r="BO145" s="10"/>
      <c r="CH145"/>
      <c r="CI145"/>
      <c r="CJ145"/>
      <c r="CK145"/>
    </row>
    <row r="146" spans="21:89">
      <c r="U146" s="10"/>
      <c r="V146" s="10"/>
      <c r="W146" s="10"/>
      <c r="X146" s="10"/>
      <c r="Y146" s="10"/>
      <c r="Z146" s="8"/>
      <c r="AB146" s="10"/>
      <c r="AC146" s="10"/>
      <c r="AE146" s="10"/>
      <c r="AF146"/>
      <c r="AJ146" s="10"/>
      <c r="AR146"/>
      <c r="AV146" s="10"/>
      <c r="BA146"/>
      <c r="BG146"/>
      <c r="BH146" s="10"/>
      <c r="BO146" s="10"/>
      <c r="CH146"/>
      <c r="CI146"/>
      <c r="CJ146"/>
      <c r="CK146"/>
    </row>
    <row r="147" spans="21:89">
      <c r="U147" s="10"/>
      <c r="V147" s="10"/>
      <c r="W147" s="10"/>
      <c r="X147" s="10"/>
      <c r="Y147" s="10"/>
      <c r="Z147" s="8"/>
      <c r="AB147" s="10"/>
      <c r="AC147" s="10"/>
      <c r="AE147" s="10"/>
      <c r="AF147"/>
      <c r="AJ147" s="10"/>
      <c r="AR147"/>
      <c r="AV147" s="10"/>
      <c r="BA147"/>
      <c r="BG147"/>
      <c r="BH147" s="10"/>
      <c r="BO147" s="10"/>
      <c r="CH147"/>
      <c r="CI147"/>
      <c r="CJ147"/>
      <c r="CK147"/>
    </row>
    <row r="148" spans="21:89">
      <c r="U148" s="10"/>
      <c r="V148" s="10"/>
      <c r="W148" s="10"/>
      <c r="X148" s="10"/>
      <c r="Y148" s="10"/>
      <c r="Z148" s="8"/>
      <c r="AB148" s="10"/>
      <c r="AC148" s="10"/>
      <c r="AE148" s="10"/>
      <c r="AF148"/>
      <c r="AJ148" s="10"/>
      <c r="AR148"/>
      <c r="AV148" s="10"/>
      <c r="BA148"/>
      <c r="BG148"/>
      <c r="BH148" s="10"/>
      <c r="BO148" s="10"/>
      <c r="CH148"/>
      <c r="CI148"/>
      <c r="CJ148"/>
      <c r="CK148"/>
    </row>
    <row r="149" spans="21:89">
      <c r="U149" s="10"/>
      <c r="V149" s="10"/>
      <c r="W149" s="10"/>
      <c r="X149" s="10"/>
      <c r="Y149" s="10"/>
      <c r="Z149" s="8"/>
      <c r="AB149" s="10"/>
      <c r="AC149" s="10"/>
      <c r="AE149" s="10"/>
      <c r="AF149"/>
      <c r="AJ149" s="10"/>
      <c r="AR149"/>
      <c r="AV149" s="10"/>
      <c r="BA149"/>
      <c r="BG149"/>
      <c r="BH149" s="10"/>
      <c r="BO149" s="10"/>
      <c r="CH149"/>
      <c r="CI149"/>
      <c r="CJ149"/>
      <c r="CK149"/>
    </row>
    <row r="150" spans="21:89">
      <c r="U150" s="10"/>
      <c r="V150" s="10"/>
      <c r="W150" s="10"/>
      <c r="X150" s="10"/>
      <c r="Y150" s="10"/>
      <c r="Z150" s="8"/>
      <c r="AB150" s="10"/>
      <c r="AC150" s="10"/>
      <c r="AE150" s="10"/>
      <c r="AF150"/>
      <c r="AJ150" s="10"/>
      <c r="AR150"/>
      <c r="AV150" s="10"/>
      <c r="BA150"/>
      <c r="BG150"/>
      <c r="BH150" s="10"/>
      <c r="BO150" s="10"/>
      <c r="CH150"/>
      <c r="CI150"/>
      <c r="CJ150"/>
      <c r="CK150"/>
    </row>
    <row r="151" spans="21:89">
      <c r="U151" s="10"/>
      <c r="V151" s="10"/>
      <c r="W151" s="10"/>
      <c r="X151" s="10"/>
      <c r="Y151" s="10"/>
      <c r="Z151" s="8"/>
      <c r="AB151" s="10"/>
      <c r="AC151" s="10"/>
      <c r="AE151" s="10"/>
      <c r="AF151"/>
      <c r="AJ151" s="10"/>
      <c r="AR151"/>
      <c r="AV151" s="10"/>
      <c r="BA151"/>
      <c r="BG151"/>
      <c r="BH151" s="10"/>
      <c r="BO151" s="10"/>
      <c r="CH151"/>
      <c r="CI151"/>
      <c r="CJ151"/>
      <c r="CK151"/>
    </row>
    <row r="152" spans="21:89">
      <c r="U152" s="10"/>
      <c r="V152" s="10"/>
      <c r="W152" s="10"/>
      <c r="X152" s="10"/>
      <c r="Y152" s="10"/>
      <c r="Z152" s="8"/>
      <c r="AB152" s="10"/>
      <c r="AC152" s="10"/>
      <c r="AE152" s="10"/>
      <c r="AF152"/>
      <c r="AJ152" s="10"/>
      <c r="AR152"/>
      <c r="AV152" s="10"/>
      <c r="BA152"/>
      <c r="BG152"/>
      <c r="BH152" s="10"/>
      <c r="BO152" s="10"/>
      <c r="CH152"/>
      <c r="CI152"/>
      <c r="CJ152"/>
      <c r="CK152"/>
    </row>
    <row r="153" spans="21:89">
      <c r="U153" s="10"/>
      <c r="V153" s="10"/>
      <c r="W153" s="10"/>
      <c r="X153" s="10"/>
      <c r="Y153" s="10"/>
      <c r="Z153" s="8"/>
      <c r="AB153" s="10"/>
      <c r="AC153" s="10"/>
      <c r="AE153" s="10"/>
      <c r="AF153"/>
      <c r="AJ153" s="10"/>
      <c r="AR153"/>
      <c r="AV153" s="10"/>
      <c r="BA153"/>
      <c r="BG153"/>
      <c r="BH153" s="10"/>
      <c r="BO153" s="10"/>
      <c r="CH153"/>
      <c r="CI153"/>
      <c r="CJ153"/>
      <c r="CK153"/>
    </row>
    <row r="154" spans="21:89">
      <c r="U154" s="10"/>
      <c r="V154" s="10"/>
      <c r="W154" s="10"/>
      <c r="X154" s="10"/>
      <c r="Y154" s="10"/>
      <c r="Z154" s="8"/>
      <c r="AB154" s="10"/>
      <c r="AC154" s="10"/>
      <c r="AE154" s="10"/>
      <c r="AF154"/>
      <c r="AJ154" s="10"/>
      <c r="AR154"/>
      <c r="AV154" s="10"/>
      <c r="BA154"/>
      <c r="BG154"/>
      <c r="BH154" s="10"/>
      <c r="BO154" s="10"/>
      <c r="CH154"/>
      <c r="CI154"/>
      <c r="CJ154"/>
      <c r="CK154"/>
    </row>
    <row r="155" spans="21:89">
      <c r="U155" s="10"/>
      <c r="V155" s="10"/>
      <c r="W155" s="10"/>
      <c r="X155" s="10"/>
      <c r="Y155" s="10"/>
      <c r="Z155" s="8"/>
      <c r="AB155" s="10"/>
      <c r="AC155" s="10"/>
      <c r="AE155" s="10"/>
      <c r="AF155"/>
      <c r="AJ155" s="10"/>
      <c r="AR155"/>
      <c r="AV155" s="10"/>
      <c r="BA155"/>
      <c r="BG155"/>
      <c r="BH155" s="10"/>
      <c r="BO155" s="10"/>
      <c r="CH155"/>
      <c r="CI155"/>
      <c r="CJ155"/>
      <c r="CK155"/>
    </row>
    <row r="156" spans="21:89">
      <c r="U156" s="10"/>
      <c r="V156" s="10"/>
      <c r="W156" s="10"/>
      <c r="X156" s="10"/>
      <c r="Y156" s="10"/>
      <c r="Z156" s="8"/>
      <c r="AB156" s="10"/>
      <c r="AC156" s="10"/>
      <c r="AE156" s="10"/>
      <c r="AF156"/>
      <c r="AJ156" s="10"/>
      <c r="AR156"/>
      <c r="AV156" s="10"/>
      <c r="BA156"/>
      <c r="BG156"/>
      <c r="BH156" s="10"/>
      <c r="BO156" s="10"/>
      <c r="CH156"/>
      <c r="CI156"/>
      <c r="CJ156"/>
      <c r="CK156"/>
    </row>
    <row r="157" spans="21:89">
      <c r="U157" s="10"/>
      <c r="V157" s="10"/>
      <c r="W157" s="10"/>
      <c r="X157" s="10"/>
      <c r="Y157" s="10"/>
      <c r="Z157" s="8"/>
      <c r="AB157" s="10"/>
      <c r="AC157" s="10"/>
      <c r="AE157" s="10"/>
      <c r="AF157"/>
      <c r="AJ157" s="10"/>
      <c r="AR157"/>
      <c r="AV157" s="10"/>
      <c r="BA157"/>
      <c r="BG157"/>
      <c r="BH157" s="10"/>
      <c r="BO157" s="10"/>
      <c r="CH157"/>
      <c r="CI157"/>
      <c r="CJ157"/>
      <c r="CK157"/>
    </row>
    <row r="158" spans="21:89">
      <c r="U158" s="10"/>
      <c r="V158" s="10"/>
      <c r="W158" s="10"/>
      <c r="X158" s="10"/>
      <c r="Y158" s="10"/>
      <c r="Z158" s="8"/>
      <c r="AB158" s="10"/>
      <c r="AC158" s="10"/>
      <c r="AE158" s="10"/>
      <c r="AF158"/>
      <c r="AJ158" s="10"/>
      <c r="AR158"/>
      <c r="AV158" s="10"/>
      <c r="BA158"/>
      <c r="BG158"/>
      <c r="BH158" s="10"/>
      <c r="BO158" s="10"/>
      <c r="CH158"/>
      <c r="CI158"/>
      <c r="CJ158"/>
      <c r="CK158"/>
    </row>
    <row r="159" spans="21:89">
      <c r="U159" s="10"/>
      <c r="V159" s="10"/>
      <c r="W159" s="10"/>
      <c r="X159" s="10"/>
      <c r="Y159" s="10"/>
      <c r="Z159" s="8"/>
      <c r="AB159" s="10"/>
      <c r="AC159" s="10"/>
      <c r="AE159" s="10"/>
      <c r="AF159"/>
      <c r="AJ159" s="10"/>
      <c r="AR159"/>
      <c r="AV159" s="10"/>
      <c r="BA159"/>
      <c r="BG159"/>
      <c r="BH159" s="10"/>
      <c r="BO159" s="10"/>
      <c r="CH159"/>
      <c r="CI159"/>
      <c r="CJ159"/>
      <c r="CK159"/>
    </row>
    <row r="160" spans="21:89">
      <c r="U160" s="10"/>
      <c r="V160" s="10"/>
      <c r="W160" s="10"/>
      <c r="X160" s="10"/>
      <c r="Y160" s="10"/>
      <c r="Z160" s="8"/>
      <c r="AB160" s="10"/>
      <c r="AC160" s="10"/>
      <c r="AE160" s="10"/>
      <c r="AF160"/>
      <c r="AJ160" s="10"/>
      <c r="AR160"/>
      <c r="AV160" s="10"/>
      <c r="BA160"/>
      <c r="BG160"/>
      <c r="BH160" s="10"/>
      <c r="BO160" s="10"/>
      <c r="CH160"/>
      <c r="CI160"/>
      <c r="CJ160"/>
      <c r="CK160"/>
    </row>
    <row r="161" spans="21:89">
      <c r="U161" s="10"/>
      <c r="V161" s="10"/>
      <c r="W161" s="10"/>
      <c r="X161" s="10"/>
      <c r="Y161" s="10"/>
      <c r="Z161" s="8"/>
      <c r="AB161" s="10"/>
      <c r="AC161" s="10"/>
      <c r="AE161" s="10"/>
      <c r="AF161"/>
      <c r="AJ161" s="10"/>
      <c r="AR161"/>
      <c r="AV161" s="10"/>
      <c r="BA161"/>
      <c r="BG161"/>
      <c r="BH161" s="10"/>
      <c r="BO161" s="10"/>
      <c r="CH161"/>
      <c r="CI161"/>
      <c r="CJ161"/>
      <c r="CK161"/>
    </row>
    <row r="162" spans="21:89">
      <c r="U162" s="10"/>
      <c r="V162" s="10"/>
      <c r="W162" s="10"/>
      <c r="X162" s="10"/>
      <c r="Y162" s="10"/>
      <c r="Z162" s="8"/>
      <c r="AB162" s="10"/>
      <c r="AC162" s="10"/>
      <c r="AE162" s="10"/>
      <c r="AF162"/>
      <c r="AJ162" s="10"/>
      <c r="AR162"/>
      <c r="AV162" s="10"/>
      <c r="BA162"/>
      <c r="BG162"/>
      <c r="BH162" s="10"/>
      <c r="BO162" s="10"/>
      <c r="CH162"/>
      <c r="CI162"/>
      <c r="CJ162"/>
      <c r="CK162"/>
    </row>
    <row r="163" spans="21:89">
      <c r="U163" s="10"/>
      <c r="V163" s="10"/>
      <c r="W163" s="10"/>
      <c r="X163" s="10"/>
      <c r="Y163" s="10"/>
      <c r="Z163" s="8"/>
      <c r="AB163" s="10"/>
      <c r="AC163" s="10"/>
      <c r="AE163" s="10"/>
      <c r="AF163"/>
      <c r="AJ163" s="10"/>
      <c r="AR163"/>
      <c r="AV163" s="10"/>
      <c r="BA163"/>
      <c r="BG163"/>
      <c r="BH163" s="10"/>
      <c r="BO163" s="10"/>
      <c r="CH163"/>
      <c r="CI163"/>
      <c r="CJ163"/>
      <c r="CK163"/>
    </row>
    <row r="164" spans="21:89">
      <c r="U164" s="10"/>
      <c r="V164" s="10"/>
      <c r="W164" s="10"/>
      <c r="X164" s="10"/>
      <c r="Y164" s="10"/>
      <c r="Z164" s="8"/>
      <c r="AB164" s="10"/>
      <c r="AC164" s="10"/>
      <c r="AE164" s="10"/>
      <c r="AF164"/>
      <c r="AJ164" s="10"/>
      <c r="AR164"/>
      <c r="AV164" s="10"/>
      <c r="BA164"/>
      <c r="BG164"/>
      <c r="BH164" s="10"/>
      <c r="BO164" s="10"/>
      <c r="CH164"/>
      <c r="CI164"/>
      <c r="CJ164"/>
      <c r="CK164"/>
    </row>
    <row r="165" spans="21:89">
      <c r="U165" s="10"/>
      <c r="V165" s="10"/>
      <c r="W165" s="10"/>
      <c r="X165" s="10"/>
      <c r="Y165" s="10"/>
      <c r="Z165" s="8"/>
      <c r="AB165" s="10"/>
      <c r="AC165" s="10"/>
      <c r="AE165" s="10"/>
      <c r="AF165"/>
      <c r="AJ165" s="10"/>
      <c r="AR165"/>
      <c r="AV165" s="10"/>
      <c r="BA165"/>
      <c r="BG165"/>
      <c r="BH165" s="10"/>
      <c r="BO165" s="10"/>
      <c r="CH165"/>
      <c r="CI165"/>
      <c r="CJ165"/>
      <c r="CK165"/>
    </row>
    <row r="166" spans="21:89">
      <c r="U166" s="10"/>
      <c r="V166" s="10"/>
      <c r="W166" s="10"/>
      <c r="X166" s="10"/>
      <c r="Y166" s="10"/>
      <c r="Z166" s="8"/>
      <c r="AB166" s="10"/>
      <c r="AC166" s="10"/>
      <c r="AE166" s="10"/>
      <c r="AF166"/>
      <c r="AJ166" s="10"/>
      <c r="AR166"/>
      <c r="AV166" s="10"/>
      <c r="BA166"/>
      <c r="BG166"/>
      <c r="BH166" s="10"/>
      <c r="BO166" s="10"/>
      <c r="CH166"/>
      <c r="CI166"/>
      <c r="CJ166"/>
      <c r="CK166"/>
    </row>
    <row r="167" spans="21:89">
      <c r="U167" s="10"/>
      <c r="V167" s="10"/>
      <c r="W167" s="10"/>
      <c r="X167" s="10"/>
      <c r="Y167" s="10"/>
      <c r="Z167" s="8"/>
      <c r="AB167" s="10"/>
      <c r="AC167" s="10"/>
      <c r="AE167" s="10"/>
      <c r="AF167"/>
      <c r="AJ167" s="10"/>
      <c r="AR167"/>
      <c r="AV167" s="10"/>
      <c r="BA167"/>
      <c r="BG167"/>
      <c r="BH167" s="10"/>
      <c r="BO167" s="10"/>
      <c r="CH167"/>
      <c r="CI167"/>
      <c r="CJ167"/>
      <c r="CK167"/>
    </row>
    <row r="168" spans="21:89">
      <c r="U168" s="10"/>
      <c r="V168" s="10"/>
      <c r="W168" s="10"/>
      <c r="X168" s="10"/>
      <c r="Y168" s="10"/>
      <c r="Z168" s="8"/>
      <c r="AB168" s="10"/>
      <c r="AC168" s="10"/>
      <c r="AE168" s="10"/>
      <c r="AF168"/>
      <c r="AJ168" s="10"/>
      <c r="AR168"/>
      <c r="AV168" s="10"/>
      <c r="BA168"/>
      <c r="BG168"/>
      <c r="BH168" s="10"/>
      <c r="BO168" s="10"/>
      <c r="CH168"/>
      <c r="CI168"/>
      <c r="CJ168"/>
      <c r="CK168"/>
    </row>
    <row r="169" spans="21:89">
      <c r="U169" s="10"/>
      <c r="V169" s="10"/>
      <c r="W169" s="10"/>
      <c r="X169" s="10"/>
      <c r="Y169" s="10"/>
      <c r="Z169" s="8"/>
      <c r="AB169" s="10"/>
      <c r="AC169" s="10"/>
      <c r="AE169" s="10"/>
      <c r="AF169"/>
      <c r="AJ169" s="10"/>
      <c r="AR169"/>
      <c r="AV169" s="10"/>
      <c r="BA169"/>
      <c r="BG169"/>
      <c r="BH169" s="10"/>
      <c r="BO169" s="10"/>
      <c r="CH169"/>
      <c r="CI169"/>
      <c r="CJ169"/>
      <c r="CK169"/>
    </row>
    <row r="170" spans="21:89">
      <c r="U170" s="10"/>
      <c r="V170" s="10"/>
      <c r="W170" s="10"/>
      <c r="X170" s="10"/>
      <c r="Y170" s="10"/>
      <c r="Z170" s="8"/>
      <c r="AB170" s="10"/>
      <c r="AC170" s="10"/>
      <c r="AE170" s="10"/>
      <c r="AF170"/>
      <c r="AJ170" s="10"/>
      <c r="AR170"/>
      <c r="AV170" s="10"/>
      <c r="BA170"/>
      <c r="BG170"/>
      <c r="BH170" s="10"/>
      <c r="BO170" s="10"/>
      <c r="CH170"/>
      <c r="CI170"/>
      <c r="CJ170"/>
      <c r="CK170"/>
    </row>
    <row r="171" spans="21:89">
      <c r="U171" s="10"/>
      <c r="V171" s="10"/>
      <c r="W171" s="10"/>
      <c r="X171" s="10"/>
      <c r="Y171" s="10"/>
      <c r="Z171" s="8"/>
      <c r="AB171" s="10"/>
      <c r="AC171" s="10"/>
      <c r="AE171" s="10"/>
      <c r="AF171"/>
      <c r="AJ171" s="10"/>
      <c r="AR171"/>
      <c r="AV171" s="10"/>
      <c r="BA171"/>
      <c r="BG171"/>
      <c r="BH171" s="10"/>
      <c r="BO171" s="10"/>
      <c r="CH171"/>
      <c r="CI171"/>
      <c r="CJ171"/>
      <c r="CK171"/>
    </row>
    <row r="172" spans="21:89">
      <c r="U172" s="10"/>
      <c r="V172" s="10"/>
      <c r="W172" s="10"/>
      <c r="X172" s="10"/>
      <c r="Y172" s="10"/>
      <c r="Z172" s="8"/>
      <c r="AB172" s="10"/>
      <c r="AC172" s="10"/>
      <c r="AE172" s="10"/>
      <c r="AF172"/>
      <c r="AJ172" s="10"/>
      <c r="AR172"/>
      <c r="AV172" s="10"/>
      <c r="BA172"/>
      <c r="BG172"/>
      <c r="BH172" s="10"/>
      <c r="BO172" s="10"/>
      <c r="CH172"/>
      <c r="CI172"/>
      <c r="CJ172"/>
      <c r="CK172"/>
    </row>
    <row r="173" spans="21:89">
      <c r="U173" s="10"/>
      <c r="V173" s="10"/>
      <c r="W173" s="10"/>
      <c r="X173" s="10"/>
      <c r="Y173" s="10"/>
      <c r="Z173" s="8"/>
      <c r="AB173" s="10"/>
      <c r="AC173" s="10"/>
      <c r="AE173" s="10"/>
      <c r="AF173"/>
      <c r="AJ173" s="10"/>
      <c r="AR173"/>
      <c r="AV173" s="10"/>
      <c r="BA173"/>
      <c r="BG173"/>
      <c r="BH173" s="10"/>
      <c r="BO173" s="10"/>
      <c r="CH173"/>
      <c r="CI173"/>
      <c r="CJ173"/>
      <c r="CK173"/>
    </row>
    <row r="174" spans="21:89">
      <c r="U174" s="10"/>
      <c r="V174" s="10"/>
      <c r="W174" s="10"/>
      <c r="X174" s="10"/>
      <c r="Y174" s="10"/>
      <c r="Z174" s="8"/>
      <c r="AB174" s="10"/>
      <c r="AC174" s="10"/>
      <c r="AE174" s="10"/>
      <c r="AF174"/>
      <c r="AJ174" s="10"/>
      <c r="AR174"/>
      <c r="AV174" s="10"/>
      <c r="BA174"/>
      <c r="BG174"/>
      <c r="BH174" s="10"/>
      <c r="BO174" s="10"/>
      <c r="CH174"/>
      <c r="CI174"/>
      <c r="CJ174"/>
      <c r="CK174"/>
    </row>
    <row r="175" spans="21:89">
      <c r="U175" s="10"/>
      <c r="V175" s="10"/>
      <c r="W175" s="10"/>
      <c r="X175" s="10"/>
      <c r="Y175" s="10"/>
      <c r="Z175" s="8"/>
      <c r="AB175" s="10"/>
      <c r="AC175" s="10"/>
      <c r="AE175" s="10"/>
      <c r="AF175"/>
      <c r="AJ175" s="10"/>
      <c r="AR175"/>
      <c r="AV175" s="10"/>
      <c r="BA175"/>
      <c r="BG175"/>
      <c r="BH175" s="10"/>
      <c r="BO175" s="10"/>
      <c r="CH175"/>
      <c r="CI175"/>
      <c r="CJ175"/>
      <c r="CK175"/>
    </row>
    <row r="176" spans="21:89">
      <c r="U176" s="10"/>
      <c r="V176" s="10"/>
      <c r="W176" s="10"/>
      <c r="X176" s="10"/>
      <c r="Y176" s="10"/>
      <c r="Z176" s="8"/>
      <c r="AB176" s="10"/>
      <c r="AC176" s="10"/>
      <c r="AE176" s="10"/>
      <c r="AF176"/>
      <c r="AJ176" s="10"/>
      <c r="AR176"/>
      <c r="AV176" s="10"/>
      <c r="BA176"/>
      <c r="BG176"/>
      <c r="BH176" s="10"/>
      <c r="BO176" s="10"/>
      <c r="CH176"/>
      <c r="CI176"/>
      <c r="CJ176"/>
      <c r="CK176"/>
    </row>
    <row r="177" spans="21:89">
      <c r="U177" s="10"/>
      <c r="V177" s="10"/>
      <c r="W177" s="10"/>
      <c r="X177" s="10"/>
      <c r="Y177" s="10"/>
      <c r="Z177" s="8"/>
      <c r="AB177" s="10"/>
      <c r="AC177" s="10"/>
      <c r="AE177" s="10"/>
      <c r="AF177"/>
      <c r="AJ177" s="10"/>
      <c r="AR177"/>
      <c r="AV177" s="10"/>
      <c r="BA177"/>
      <c r="BG177"/>
      <c r="BH177" s="10"/>
      <c r="BO177" s="10"/>
      <c r="CH177"/>
      <c r="CI177"/>
      <c r="CJ177"/>
      <c r="CK177"/>
    </row>
    <row r="178" spans="21:89">
      <c r="U178" s="10"/>
      <c r="V178" s="10"/>
      <c r="W178" s="10"/>
      <c r="X178" s="10"/>
      <c r="Y178" s="10"/>
      <c r="Z178" s="8"/>
      <c r="AB178" s="10"/>
      <c r="AC178" s="10"/>
      <c r="AE178" s="10"/>
      <c r="AF178"/>
      <c r="AJ178" s="10"/>
      <c r="AR178"/>
      <c r="AV178" s="10"/>
      <c r="BA178"/>
      <c r="BG178"/>
      <c r="BH178" s="10"/>
      <c r="BO178" s="10"/>
      <c r="CH178"/>
      <c r="CI178"/>
      <c r="CJ178"/>
      <c r="CK178"/>
    </row>
    <row r="179" spans="21:89">
      <c r="U179" s="10"/>
      <c r="V179" s="10"/>
      <c r="W179" s="10"/>
      <c r="X179" s="10"/>
      <c r="Y179" s="10"/>
      <c r="Z179" s="8"/>
      <c r="AB179" s="10"/>
      <c r="AC179" s="10"/>
      <c r="AE179" s="10"/>
      <c r="AF179"/>
      <c r="AJ179" s="10"/>
      <c r="AR179"/>
      <c r="AV179" s="10"/>
      <c r="BA179"/>
      <c r="BG179"/>
      <c r="BH179" s="10"/>
      <c r="BO179" s="10"/>
      <c r="CH179"/>
      <c r="CI179"/>
      <c r="CJ179"/>
      <c r="CK179"/>
    </row>
    <row r="180" spans="21:89">
      <c r="U180" s="10"/>
      <c r="V180" s="10"/>
      <c r="W180" s="10"/>
      <c r="X180" s="10"/>
      <c r="Y180" s="10"/>
      <c r="Z180" s="8"/>
      <c r="AB180" s="10"/>
      <c r="AC180" s="10"/>
      <c r="AE180" s="10"/>
      <c r="AF180"/>
      <c r="AJ180" s="10"/>
      <c r="AR180"/>
      <c r="AV180" s="10"/>
      <c r="BA180"/>
      <c r="BG180"/>
      <c r="BH180" s="10"/>
      <c r="BO180" s="10"/>
      <c r="CH180"/>
      <c r="CI180"/>
      <c r="CJ180"/>
      <c r="CK180"/>
    </row>
    <row r="181" spans="21:89">
      <c r="U181" s="10"/>
      <c r="V181" s="10"/>
      <c r="W181" s="10"/>
      <c r="X181" s="10"/>
      <c r="Y181" s="10"/>
      <c r="Z181" s="8"/>
      <c r="AB181" s="10"/>
      <c r="AC181" s="10"/>
      <c r="AE181" s="10"/>
      <c r="AF181"/>
      <c r="AJ181" s="10"/>
      <c r="AR181"/>
      <c r="AV181" s="10"/>
      <c r="BA181"/>
      <c r="BG181"/>
      <c r="BH181" s="10"/>
      <c r="BO181" s="10"/>
      <c r="CH181"/>
      <c r="CI181"/>
      <c r="CJ181"/>
      <c r="CK181"/>
    </row>
    <row r="182" spans="21:89">
      <c r="U182" s="10"/>
      <c r="V182" s="10"/>
      <c r="W182" s="10"/>
      <c r="X182" s="10"/>
      <c r="Y182" s="10"/>
      <c r="Z182" s="8"/>
      <c r="AB182" s="10"/>
      <c r="AC182" s="10"/>
      <c r="AE182" s="10"/>
      <c r="AF182"/>
      <c r="AJ182" s="10"/>
      <c r="AR182"/>
      <c r="AV182" s="10"/>
      <c r="BA182"/>
      <c r="BG182"/>
      <c r="BH182" s="10"/>
      <c r="BO182" s="10"/>
      <c r="CH182"/>
      <c r="CI182"/>
      <c r="CJ182"/>
      <c r="CK182"/>
    </row>
    <row r="183" spans="21:89">
      <c r="U183" s="10"/>
      <c r="V183" s="10"/>
      <c r="W183" s="10"/>
      <c r="X183" s="10"/>
      <c r="Y183" s="10"/>
      <c r="Z183" s="8"/>
      <c r="AB183" s="10"/>
      <c r="AC183" s="10"/>
      <c r="AE183" s="10"/>
      <c r="AF183"/>
      <c r="AJ183" s="10"/>
      <c r="AR183"/>
      <c r="AV183" s="10"/>
      <c r="BA183"/>
      <c r="BG183"/>
      <c r="BH183" s="10"/>
      <c r="BO183" s="10"/>
      <c r="CH183"/>
      <c r="CI183"/>
      <c r="CJ183"/>
      <c r="CK183"/>
    </row>
    <row r="184" spans="21:89">
      <c r="U184" s="10"/>
      <c r="V184" s="10"/>
      <c r="W184" s="10"/>
      <c r="X184" s="10"/>
      <c r="Y184" s="10"/>
      <c r="Z184" s="8"/>
      <c r="AB184" s="10"/>
      <c r="AC184" s="10"/>
      <c r="AE184" s="10"/>
      <c r="AF184"/>
      <c r="AJ184" s="10"/>
      <c r="AR184"/>
      <c r="AV184" s="10"/>
      <c r="BA184"/>
      <c r="BG184"/>
      <c r="BH184" s="10"/>
      <c r="BO184" s="10"/>
      <c r="CH184"/>
      <c r="CI184"/>
      <c r="CJ184"/>
      <c r="CK184"/>
    </row>
    <row r="185" spans="21:89">
      <c r="U185" s="10"/>
      <c r="V185" s="10"/>
      <c r="W185" s="10"/>
      <c r="X185" s="10"/>
      <c r="Y185" s="10"/>
      <c r="Z185" s="8"/>
      <c r="AB185" s="10"/>
      <c r="AC185" s="10"/>
      <c r="AE185" s="10"/>
      <c r="AF185"/>
      <c r="AJ185" s="10"/>
      <c r="AR185"/>
      <c r="AV185" s="10"/>
      <c r="BA185"/>
      <c r="BG185"/>
      <c r="BH185" s="10"/>
      <c r="BO185" s="10"/>
      <c r="CH185"/>
      <c r="CI185"/>
      <c r="CJ185"/>
      <c r="CK185"/>
    </row>
    <row r="186" spans="21:89">
      <c r="U186" s="10"/>
      <c r="V186" s="10"/>
      <c r="W186" s="10"/>
      <c r="X186" s="10"/>
      <c r="Y186" s="10"/>
      <c r="Z186" s="8"/>
      <c r="AB186" s="10"/>
      <c r="AC186" s="10"/>
      <c r="AE186" s="10"/>
      <c r="AF186"/>
      <c r="AJ186" s="10"/>
      <c r="AR186"/>
      <c r="AV186" s="10"/>
      <c r="BA186"/>
      <c r="BG186"/>
      <c r="BH186" s="10"/>
      <c r="BO186" s="10"/>
      <c r="CH186"/>
      <c r="CI186"/>
      <c r="CJ186"/>
      <c r="CK186"/>
    </row>
    <row r="187" spans="21:89">
      <c r="U187" s="10"/>
      <c r="V187" s="10"/>
      <c r="W187" s="10"/>
      <c r="X187" s="10"/>
      <c r="Y187" s="10"/>
      <c r="Z187" s="8"/>
      <c r="AB187" s="10"/>
      <c r="AC187" s="10"/>
      <c r="AE187" s="10"/>
      <c r="AF187"/>
      <c r="AJ187" s="10"/>
      <c r="AR187"/>
      <c r="AV187" s="10"/>
      <c r="BA187"/>
      <c r="BG187"/>
      <c r="BH187" s="10"/>
      <c r="BO187" s="10"/>
      <c r="CH187"/>
      <c r="CI187"/>
      <c r="CJ187"/>
      <c r="CK187"/>
    </row>
    <row r="188" spans="21:89">
      <c r="U188" s="10"/>
      <c r="V188" s="10"/>
      <c r="W188" s="10"/>
      <c r="X188" s="10"/>
      <c r="Y188" s="10"/>
      <c r="Z188" s="8"/>
      <c r="AB188" s="10"/>
      <c r="AC188" s="10"/>
      <c r="AE188" s="10"/>
      <c r="AF188"/>
      <c r="AJ188" s="10"/>
      <c r="AR188"/>
      <c r="AV188" s="10"/>
      <c r="BA188"/>
      <c r="BG188"/>
      <c r="BH188" s="10"/>
      <c r="BO188" s="10"/>
      <c r="CH188"/>
      <c r="CI188"/>
      <c r="CJ188"/>
      <c r="CK188"/>
    </row>
    <row r="189" spans="21:89">
      <c r="U189" s="10"/>
      <c r="V189" s="10"/>
      <c r="W189" s="10"/>
      <c r="X189" s="10"/>
      <c r="Y189" s="10"/>
      <c r="Z189" s="8"/>
      <c r="AB189" s="10"/>
      <c r="AC189" s="10"/>
      <c r="AE189" s="10"/>
      <c r="AF189"/>
      <c r="AJ189" s="10"/>
      <c r="AR189"/>
      <c r="AV189" s="10"/>
      <c r="BA189"/>
      <c r="BG189"/>
      <c r="BH189" s="10"/>
      <c r="BO189" s="10"/>
      <c r="CH189"/>
      <c r="CI189"/>
      <c r="CJ189"/>
      <c r="CK189"/>
    </row>
    <row r="190" spans="21:89">
      <c r="U190" s="10"/>
      <c r="V190" s="10"/>
      <c r="W190" s="10"/>
      <c r="X190" s="10"/>
      <c r="Y190" s="10"/>
      <c r="Z190" s="8"/>
      <c r="AB190" s="10"/>
      <c r="AC190" s="10"/>
      <c r="AE190" s="10"/>
      <c r="AF190"/>
      <c r="AJ190" s="10"/>
      <c r="AR190"/>
      <c r="AV190" s="10"/>
      <c r="BA190"/>
      <c r="BG190"/>
      <c r="BH190" s="10"/>
      <c r="BO190" s="10"/>
      <c r="CH190"/>
      <c r="CI190"/>
      <c r="CJ190"/>
      <c r="CK190"/>
    </row>
    <row r="191" spans="21:89">
      <c r="U191" s="10"/>
      <c r="V191" s="10"/>
      <c r="W191" s="10"/>
      <c r="X191" s="10"/>
      <c r="Y191" s="10"/>
      <c r="Z191" s="8"/>
      <c r="AB191" s="10"/>
      <c r="AC191" s="10"/>
      <c r="AE191" s="10"/>
      <c r="AF191"/>
      <c r="AJ191" s="10"/>
      <c r="AR191"/>
      <c r="AV191" s="10"/>
      <c r="BA191"/>
      <c r="BG191"/>
      <c r="BH191" s="10"/>
      <c r="BO191" s="10"/>
      <c r="CH191"/>
      <c r="CI191"/>
      <c r="CJ191"/>
      <c r="CK191"/>
    </row>
    <row r="192" spans="21:89">
      <c r="U192" s="10"/>
      <c r="V192" s="10"/>
      <c r="W192" s="10"/>
      <c r="X192" s="10"/>
      <c r="Y192" s="10"/>
      <c r="Z192" s="8"/>
      <c r="AB192" s="10"/>
      <c r="AC192" s="10"/>
      <c r="AE192" s="10"/>
      <c r="AF192"/>
      <c r="AJ192" s="10"/>
      <c r="AR192"/>
      <c r="AV192" s="10"/>
      <c r="BA192"/>
      <c r="BG192"/>
      <c r="BH192" s="10"/>
      <c r="BO192" s="10"/>
      <c r="CH192"/>
      <c r="CI192"/>
      <c r="CJ192"/>
      <c r="CK192"/>
    </row>
    <row r="193" spans="21:89">
      <c r="U193" s="10"/>
      <c r="V193" s="10"/>
      <c r="W193" s="10"/>
      <c r="X193" s="10"/>
      <c r="Y193" s="10"/>
      <c r="Z193" s="8"/>
      <c r="AB193" s="10"/>
      <c r="AC193" s="10"/>
      <c r="AE193" s="10"/>
      <c r="AF193"/>
      <c r="AJ193" s="10"/>
      <c r="AR193"/>
      <c r="AV193" s="10"/>
      <c r="BA193"/>
      <c r="BG193"/>
      <c r="BH193" s="10"/>
      <c r="BO193" s="10"/>
      <c r="CH193"/>
      <c r="CI193"/>
      <c r="CJ193"/>
      <c r="CK193"/>
    </row>
    <row r="194" spans="21:89">
      <c r="U194" s="10"/>
      <c r="V194" s="10"/>
      <c r="W194" s="10"/>
      <c r="X194" s="10"/>
      <c r="Y194" s="10"/>
      <c r="Z194" s="8"/>
      <c r="AB194" s="10"/>
      <c r="AC194" s="10"/>
      <c r="AE194" s="10"/>
      <c r="AF194"/>
      <c r="AJ194" s="10"/>
      <c r="AR194"/>
      <c r="AV194" s="10"/>
      <c r="BA194"/>
      <c r="BG194"/>
      <c r="BH194" s="10"/>
      <c r="BO194" s="10"/>
      <c r="CH194"/>
      <c r="CI194"/>
      <c r="CJ194"/>
      <c r="CK194"/>
    </row>
    <row r="195" spans="21:89">
      <c r="U195" s="10"/>
      <c r="V195" s="10"/>
      <c r="W195" s="10"/>
      <c r="X195" s="10"/>
      <c r="Y195" s="10"/>
      <c r="Z195" s="8"/>
      <c r="AB195" s="10"/>
      <c r="AC195" s="10"/>
      <c r="AE195" s="10"/>
      <c r="AF195"/>
      <c r="AJ195" s="10"/>
      <c r="AR195"/>
      <c r="AV195" s="10"/>
      <c r="BA195"/>
      <c r="BG195"/>
      <c r="BH195" s="10"/>
      <c r="BO195" s="10"/>
      <c r="CH195"/>
      <c r="CI195"/>
      <c r="CJ195"/>
      <c r="CK195"/>
    </row>
    <row r="196" spans="21:89">
      <c r="U196" s="10"/>
      <c r="V196" s="10"/>
      <c r="W196" s="10"/>
      <c r="X196" s="10"/>
      <c r="Y196" s="10"/>
      <c r="Z196" s="8"/>
      <c r="AB196" s="10"/>
      <c r="AC196" s="10"/>
      <c r="AE196" s="10"/>
      <c r="AF196"/>
      <c r="AJ196" s="10"/>
      <c r="AR196"/>
      <c r="AV196" s="10"/>
      <c r="BA196"/>
      <c r="BG196"/>
      <c r="BH196" s="10"/>
      <c r="BO196" s="10"/>
      <c r="CH196"/>
      <c r="CI196"/>
      <c r="CJ196"/>
      <c r="CK196"/>
    </row>
    <row r="197" spans="21:89">
      <c r="U197" s="10"/>
      <c r="V197" s="10"/>
      <c r="W197" s="10"/>
      <c r="X197" s="10"/>
      <c r="Y197" s="10"/>
      <c r="Z197" s="8"/>
      <c r="AB197" s="10"/>
      <c r="AC197" s="10"/>
      <c r="AE197" s="10"/>
      <c r="AF197"/>
      <c r="AJ197" s="10"/>
      <c r="AR197"/>
      <c r="AV197" s="10"/>
      <c r="BA197"/>
      <c r="BG197"/>
      <c r="BH197" s="10"/>
      <c r="BO197" s="10"/>
      <c r="CH197"/>
      <c r="CI197"/>
      <c r="CJ197"/>
      <c r="CK197"/>
    </row>
    <row r="198" spans="21:89">
      <c r="U198" s="10"/>
      <c r="V198" s="10"/>
      <c r="W198" s="10"/>
      <c r="X198" s="10"/>
      <c r="Y198" s="10"/>
      <c r="Z198" s="8"/>
      <c r="AB198" s="10"/>
      <c r="AC198" s="10"/>
      <c r="AE198" s="10"/>
      <c r="AF198"/>
      <c r="AJ198" s="10"/>
      <c r="AR198"/>
      <c r="AV198" s="10"/>
      <c r="BA198"/>
      <c r="BG198"/>
      <c r="BH198" s="10"/>
      <c r="BO198" s="10"/>
      <c r="CH198"/>
      <c r="CI198"/>
      <c r="CJ198"/>
      <c r="CK198"/>
    </row>
    <row r="199" spans="21:89">
      <c r="U199" s="10"/>
      <c r="V199" s="10"/>
      <c r="W199" s="10"/>
      <c r="X199" s="10"/>
      <c r="Y199" s="10"/>
      <c r="Z199" s="8"/>
      <c r="AB199" s="10"/>
      <c r="AC199" s="10"/>
      <c r="AE199" s="10"/>
      <c r="AF199"/>
      <c r="AJ199" s="10"/>
      <c r="AR199"/>
      <c r="AV199" s="10"/>
      <c r="BA199"/>
      <c r="BG199"/>
      <c r="BH199" s="10"/>
      <c r="BO199" s="10"/>
      <c r="CH199"/>
      <c r="CI199"/>
      <c r="CJ199"/>
      <c r="CK199"/>
    </row>
    <row r="200" spans="21:89">
      <c r="U200" s="10"/>
      <c r="V200" s="10"/>
      <c r="W200" s="10"/>
      <c r="X200" s="10"/>
      <c r="Y200" s="10"/>
      <c r="Z200" s="8"/>
      <c r="AB200" s="10"/>
      <c r="AC200" s="10"/>
      <c r="AE200" s="10"/>
      <c r="AF200"/>
      <c r="AJ200" s="10"/>
      <c r="AR200"/>
      <c r="AV200" s="10"/>
      <c r="BA200"/>
      <c r="BG200"/>
      <c r="BH200" s="10"/>
      <c r="BO200" s="10"/>
      <c r="CH200"/>
      <c r="CI200"/>
      <c r="CJ200"/>
      <c r="CK200"/>
    </row>
    <row r="201" spans="21:89">
      <c r="U201" s="10"/>
      <c r="V201" s="10"/>
      <c r="W201" s="10"/>
      <c r="X201" s="10"/>
      <c r="Y201" s="10"/>
      <c r="Z201" s="8"/>
      <c r="AB201" s="10"/>
      <c r="AC201" s="10"/>
      <c r="AE201" s="10"/>
      <c r="AF201"/>
      <c r="AJ201" s="10"/>
      <c r="AR201"/>
      <c r="AV201" s="10"/>
      <c r="BA201"/>
      <c r="BG201"/>
      <c r="BH201" s="10"/>
      <c r="BO201" s="10"/>
      <c r="CH201"/>
      <c r="CI201"/>
      <c r="CJ201"/>
      <c r="CK201"/>
    </row>
    <row r="202" spans="21:89">
      <c r="U202" s="10"/>
      <c r="V202" s="10"/>
      <c r="W202" s="10"/>
      <c r="X202" s="10"/>
      <c r="Y202" s="10"/>
      <c r="Z202" s="8"/>
      <c r="AB202" s="10"/>
      <c r="AC202" s="10"/>
      <c r="AE202" s="10"/>
      <c r="AF202"/>
      <c r="AJ202" s="10"/>
      <c r="AR202"/>
      <c r="AV202" s="10"/>
      <c r="BA202"/>
      <c r="BG202"/>
      <c r="BH202" s="10"/>
      <c r="BO202" s="10"/>
      <c r="CH202"/>
      <c r="CI202"/>
      <c r="CJ202"/>
      <c r="CK202"/>
    </row>
    <row r="203" spans="21:89">
      <c r="U203" s="10"/>
      <c r="V203" s="10"/>
      <c r="W203" s="10"/>
      <c r="X203" s="10"/>
      <c r="Y203" s="10"/>
      <c r="Z203" s="8"/>
      <c r="AB203" s="10"/>
      <c r="AC203" s="10"/>
      <c r="AE203" s="10"/>
      <c r="AF203"/>
      <c r="AJ203" s="10"/>
      <c r="AR203"/>
      <c r="AV203" s="10"/>
      <c r="BA203"/>
      <c r="BG203"/>
      <c r="BH203" s="10"/>
      <c r="BO203" s="10"/>
      <c r="CH203"/>
      <c r="CI203"/>
      <c r="CJ203"/>
      <c r="CK203"/>
    </row>
    <row r="204" spans="21:89">
      <c r="U204" s="10"/>
      <c r="V204" s="10"/>
      <c r="W204" s="10"/>
      <c r="X204" s="10"/>
      <c r="Y204" s="10"/>
      <c r="Z204" s="8"/>
      <c r="AB204" s="10"/>
      <c r="AC204" s="10"/>
      <c r="AE204" s="10"/>
      <c r="AF204"/>
      <c r="AJ204" s="10"/>
      <c r="AR204"/>
      <c r="AV204" s="10"/>
      <c r="BA204"/>
      <c r="BG204"/>
      <c r="BH204" s="10"/>
      <c r="BO204" s="10"/>
      <c r="CH204"/>
      <c r="CI204"/>
      <c r="CJ204"/>
      <c r="CK204"/>
    </row>
    <row r="205" spans="21:89">
      <c r="U205" s="10"/>
      <c r="V205" s="10"/>
      <c r="W205" s="10"/>
      <c r="X205" s="10"/>
      <c r="Y205" s="10"/>
      <c r="Z205" s="8"/>
      <c r="AB205" s="10"/>
      <c r="AC205" s="10"/>
      <c r="AE205" s="10"/>
      <c r="AF205"/>
      <c r="AJ205" s="10"/>
      <c r="AR205"/>
      <c r="AV205" s="10"/>
      <c r="BA205"/>
      <c r="BG205"/>
      <c r="BH205" s="10"/>
      <c r="BO205" s="10"/>
      <c r="CH205"/>
      <c r="CI205"/>
      <c r="CJ205"/>
      <c r="CK205"/>
    </row>
    <row r="206" spans="21:89">
      <c r="U206" s="10"/>
      <c r="V206" s="10"/>
      <c r="W206" s="10"/>
      <c r="X206" s="10"/>
      <c r="Y206" s="10"/>
      <c r="Z206" s="8"/>
      <c r="AB206" s="10"/>
      <c r="AC206" s="10"/>
      <c r="AE206" s="10"/>
      <c r="AF206"/>
      <c r="AJ206" s="10"/>
      <c r="AR206"/>
      <c r="AV206" s="10"/>
      <c r="BA206"/>
      <c r="BG206"/>
      <c r="BH206" s="10"/>
      <c r="BO206" s="10"/>
      <c r="CH206"/>
      <c r="CI206"/>
      <c r="CJ206"/>
      <c r="CK206"/>
    </row>
    <row r="207" spans="21:89">
      <c r="U207" s="10"/>
      <c r="V207" s="10"/>
      <c r="W207" s="10"/>
      <c r="X207" s="10"/>
      <c r="Y207" s="10"/>
      <c r="Z207" s="8"/>
      <c r="AB207" s="10"/>
      <c r="AC207" s="10"/>
      <c r="AE207" s="10"/>
      <c r="AF207"/>
      <c r="AJ207" s="10"/>
      <c r="AR207"/>
      <c r="AV207" s="10"/>
      <c r="BA207"/>
      <c r="BG207"/>
      <c r="BH207" s="10"/>
      <c r="BO207" s="10"/>
      <c r="CH207"/>
      <c r="CI207"/>
      <c r="CJ207"/>
      <c r="CK207"/>
    </row>
    <row r="208" spans="21:89">
      <c r="U208" s="10"/>
      <c r="V208" s="10"/>
      <c r="W208" s="10"/>
      <c r="X208" s="10"/>
      <c r="Y208" s="10"/>
      <c r="Z208" s="8"/>
      <c r="AB208" s="10"/>
      <c r="AC208" s="10"/>
      <c r="AE208" s="10"/>
      <c r="AF208"/>
      <c r="AJ208" s="10"/>
      <c r="AR208"/>
      <c r="AV208" s="10"/>
      <c r="BA208"/>
      <c r="BG208"/>
      <c r="BH208" s="10"/>
      <c r="BO208" s="10"/>
      <c r="CH208"/>
      <c r="CI208"/>
      <c r="CJ208"/>
      <c r="CK208"/>
    </row>
    <row r="209" spans="21:89">
      <c r="U209" s="10"/>
      <c r="V209" s="10"/>
      <c r="W209" s="10"/>
      <c r="X209" s="10"/>
      <c r="Y209" s="10"/>
      <c r="Z209" s="8"/>
      <c r="AB209" s="10"/>
      <c r="AC209" s="10"/>
      <c r="AE209" s="10"/>
      <c r="AF209"/>
      <c r="AJ209" s="10"/>
      <c r="AR209"/>
      <c r="AV209" s="10"/>
      <c r="BA209"/>
      <c r="BG209"/>
      <c r="BH209" s="10"/>
      <c r="BO209" s="10"/>
      <c r="CH209"/>
      <c r="CI209"/>
      <c r="CJ209"/>
      <c r="CK209"/>
    </row>
    <row r="210" spans="21:89">
      <c r="U210" s="10"/>
      <c r="V210" s="10"/>
      <c r="W210" s="10"/>
      <c r="X210" s="10"/>
      <c r="Y210" s="10"/>
      <c r="Z210" s="8"/>
      <c r="AB210" s="10"/>
      <c r="AC210" s="10"/>
      <c r="AE210" s="10"/>
      <c r="AF210"/>
      <c r="AJ210" s="10"/>
      <c r="AR210"/>
      <c r="AV210" s="10"/>
      <c r="BA210"/>
      <c r="BG210"/>
      <c r="BH210" s="10"/>
      <c r="BO210" s="10"/>
      <c r="CH210"/>
      <c r="CI210"/>
      <c r="CJ210"/>
      <c r="CK210"/>
    </row>
    <row r="211" spans="21:89">
      <c r="U211" s="10"/>
      <c r="V211" s="10"/>
      <c r="W211" s="10"/>
      <c r="X211" s="10"/>
      <c r="Y211" s="10"/>
      <c r="Z211" s="8"/>
      <c r="AB211" s="10"/>
      <c r="AC211" s="10"/>
      <c r="AE211" s="10"/>
      <c r="AF211"/>
      <c r="AJ211" s="10"/>
      <c r="AR211"/>
      <c r="AV211" s="10"/>
      <c r="BA211"/>
      <c r="BG211"/>
      <c r="BH211" s="10"/>
      <c r="BO211" s="10"/>
      <c r="CH211"/>
      <c r="CI211"/>
      <c r="CJ211"/>
      <c r="CK211"/>
    </row>
    <row r="212" spans="21:89">
      <c r="U212" s="10"/>
      <c r="V212" s="10"/>
      <c r="W212" s="10"/>
      <c r="X212" s="10"/>
      <c r="Y212" s="10"/>
      <c r="Z212" s="8"/>
      <c r="AB212" s="10"/>
      <c r="AC212" s="10"/>
      <c r="AE212" s="10"/>
      <c r="AF212"/>
      <c r="AJ212" s="10"/>
      <c r="AR212"/>
      <c r="AV212" s="10"/>
      <c r="BA212"/>
      <c r="BG212"/>
      <c r="BH212" s="10"/>
      <c r="BO212" s="10"/>
      <c r="CH212"/>
      <c r="CI212"/>
      <c r="CJ212"/>
      <c r="CK212"/>
    </row>
    <row r="213" spans="21:89">
      <c r="U213" s="10"/>
      <c r="V213" s="10"/>
      <c r="W213" s="10"/>
      <c r="X213" s="10"/>
      <c r="Y213" s="10"/>
      <c r="Z213" s="8"/>
      <c r="AB213" s="10"/>
      <c r="AC213" s="10"/>
      <c r="AE213" s="10"/>
      <c r="AF213"/>
      <c r="AJ213" s="10"/>
      <c r="AR213"/>
      <c r="AV213" s="10"/>
      <c r="BA213"/>
      <c r="BG213"/>
      <c r="BH213" s="10"/>
      <c r="BO213" s="10"/>
      <c r="CH213"/>
      <c r="CI213"/>
      <c r="CJ213"/>
      <c r="CK213"/>
    </row>
    <row r="214" spans="21:89">
      <c r="U214" s="10"/>
      <c r="V214" s="10"/>
      <c r="W214" s="10"/>
      <c r="X214" s="10"/>
      <c r="Y214" s="10"/>
      <c r="Z214" s="8"/>
      <c r="AB214" s="10"/>
      <c r="AC214" s="10"/>
      <c r="AE214" s="10"/>
      <c r="AF214"/>
      <c r="AJ214" s="10"/>
      <c r="AR214"/>
      <c r="AV214" s="10"/>
      <c r="BA214"/>
      <c r="BG214"/>
      <c r="BH214" s="10"/>
      <c r="BO214" s="10"/>
      <c r="CH214"/>
      <c r="CI214"/>
      <c r="CJ214"/>
      <c r="CK214"/>
    </row>
    <row r="215" spans="21:89">
      <c r="U215" s="10"/>
      <c r="V215" s="10"/>
      <c r="W215" s="10"/>
      <c r="X215" s="10"/>
      <c r="Y215" s="10"/>
      <c r="Z215" s="8"/>
      <c r="AB215" s="10"/>
      <c r="AC215" s="10"/>
      <c r="AE215" s="10"/>
      <c r="AF215"/>
      <c r="AJ215" s="10"/>
      <c r="AR215"/>
      <c r="AV215" s="10"/>
      <c r="BA215"/>
      <c r="BG215"/>
      <c r="BH215" s="10"/>
      <c r="BO215" s="10"/>
      <c r="CH215"/>
      <c r="CI215"/>
      <c r="CJ215"/>
      <c r="CK215"/>
    </row>
    <row r="216" spans="21:89">
      <c r="U216" s="10"/>
      <c r="V216" s="10"/>
      <c r="W216" s="10"/>
      <c r="X216" s="10"/>
      <c r="Y216" s="10"/>
      <c r="Z216" s="8"/>
      <c r="AB216" s="10"/>
      <c r="AC216" s="10"/>
      <c r="AE216" s="10"/>
      <c r="AF216"/>
      <c r="AJ216" s="10"/>
      <c r="AR216"/>
      <c r="AV216" s="10"/>
      <c r="BA216"/>
      <c r="BG216"/>
      <c r="BH216" s="10"/>
      <c r="BO216" s="10"/>
      <c r="CH216"/>
      <c r="CI216"/>
      <c r="CJ216"/>
      <c r="CK216"/>
    </row>
    <row r="217" spans="21:89">
      <c r="U217" s="10"/>
      <c r="V217" s="10"/>
      <c r="W217" s="10"/>
      <c r="X217" s="10"/>
      <c r="Y217" s="10"/>
      <c r="Z217" s="8"/>
      <c r="AB217" s="10"/>
      <c r="AC217" s="10"/>
      <c r="AE217" s="10"/>
      <c r="AF217"/>
      <c r="AJ217" s="10"/>
      <c r="AR217"/>
      <c r="AV217" s="10"/>
      <c r="BA217"/>
      <c r="BG217"/>
      <c r="BH217" s="10"/>
      <c r="BO217" s="10"/>
      <c r="CH217"/>
      <c r="CI217"/>
      <c r="CJ217"/>
      <c r="CK217"/>
    </row>
    <row r="218" spans="21:89">
      <c r="U218" s="10"/>
      <c r="V218" s="10"/>
      <c r="W218" s="10"/>
      <c r="X218" s="10"/>
      <c r="Y218" s="10"/>
      <c r="Z218" s="8"/>
      <c r="AB218" s="10"/>
      <c r="AC218" s="10"/>
      <c r="AE218" s="10"/>
      <c r="AF218"/>
      <c r="AJ218" s="10"/>
      <c r="AR218"/>
      <c r="AV218" s="10"/>
      <c r="BA218"/>
      <c r="BG218"/>
      <c r="BH218" s="10"/>
      <c r="BO218" s="10"/>
      <c r="CH218"/>
      <c r="CI218"/>
      <c r="CJ218"/>
      <c r="CK218"/>
    </row>
    <row r="219" spans="21:89">
      <c r="U219" s="10"/>
      <c r="V219" s="10"/>
      <c r="W219" s="10"/>
      <c r="X219" s="10"/>
      <c r="Y219" s="10"/>
      <c r="Z219" s="8"/>
      <c r="AB219" s="10"/>
      <c r="AC219" s="10"/>
      <c r="AE219" s="10"/>
      <c r="AF219"/>
      <c r="AJ219" s="10"/>
      <c r="AR219"/>
      <c r="AV219" s="10"/>
      <c r="BA219"/>
      <c r="BG219"/>
      <c r="BH219" s="10"/>
      <c r="BO219" s="10"/>
      <c r="CH219"/>
      <c r="CI219"/>
      <c r="CJ219"/>
      <c r="CK219"/>
    </row>
    <row r="220" spans="21:89">
      <c r="U220" s="10"/>
      <c r="V220" s="10"/>
      <c r="W220" s="10"/>
      <c r="X220" s="10"/>
      <c r="Y220" s="10"/>
      <c r="Z220" s="8"/>
      <c r="AB220" s="10"/>
      <c r="AC220" s="10"/>
      <c r="AE220" s="10"/>
      <c r="AF220"/>
      <c r="AJ220" s="10"/>
      <c r="AR220"/>
      <c r="AV220" s="10"/>
      <c r="BA220"/>
      <c r="BG220"/>
      <c r="BH220" s="10"/>
      <c r="BO220" s="10"/>
      <c r="CH220"/>
      <c r="CI220"/>
      <c r="CJ220"/>
      <c r="CK220"/>
    </row>
    <row r="221" spans="21:89">
      <c r="U221" s="10"/>
      <c r="V221" s="10"/>
      <c r="W221" s="10"/>
      <c r="X221" s="10"/>
      <c r="Y221" s="10"/>
      <c r="Z221" s="8"/>
      <c r="AB221" s="10"/>
      <c r="AC221" s="10"/>
      <c r="AE221" s="10"/>
      <c r="AF221"/>
      <c r="AJ221" s="10"/>
      <c r="AR221"/>
      <c r="AV221" s="10"/>
      <c r="BA221"/>
      <c r="BG221"/>
      <c r="BH221" s="10"/>
      <c r="BO221" s="10"/>
      <c r="CH221"/>
      <c r="CI221"/>
      <c r="CJ221"/>
      <c r="CK221"/>
    </row>
    <row r="222" spans="21:89">
      <c r="U222" s="10"/>
      <c r="V222" s="10"/>
      <c r="W222" s="10"/>
      <c r="X222" s="10"/>
      <c r="Y222" s="10"/>
      <c r="Z222" s="8"/>
      <c r="AB222" s="10"/>
      <c r="AC222" s="10"/>
      <c r="AE222" s="10"/>
      <c r="AF222"/>
      <c r="AJ222" s="10"/>
      <c r="AR222"/>
      <c r="AV222" s="10"/>
      <c r="BA222"/>
      <c r="BG222"/>
      <c r="BH222" s="10"/>
      <c r="BO222" s="10"/>
      <c r="CH222"/>
      <c r="CI222"/>
      <c r="CJ222"/>
      <c r="CK222"/>
    </row>
    <row r="223" spans="21:89">
      <c r="U223" s="10"/>
      <c r="V223" s="10"/>
      <c r="W223" s="10"/>
      <c r="X223" s="10"/>
      <c r="Y223" s="10"/>
      <c r="Z223" s="8"/>
      <c r="AB223" s="10"/>
      <c r="AC223" s="10"/>
      <c r="AE223" s="10"/>
      <c r="AF223"/>
      <c r="AJ223" s="10"/>
      <c r="AR223"/>
      <c r="AV223" s="10"/>
      <c r="BA223"/>
      <c r="BG223"/>
      <c r="BH223" s="10"/>
      <c r="BO223" s="10"/>
      <c r="CH223"/>
      <c r="CI223"/>
      <c r="CJ223"/>
      <c r="CK223"/>
    </row>
    <row r="224" spans="21:89">
      <c r="U224" s="10"/>
      <c r="V224" s="10"/>
      <c r="W224" s="10"/>
      <c r="X224" s="10"/>
      <c r="Y224" s="10"/>
      <c r="Z224" s="8"/>
      <c r="AB224" s="10"/>
      <c r="AC224" s="10"/>
      <c r="AE224" s="10"/>
      <c r="AF224"/>
      <c r="AJ224" s="10"/>
      <c r="AR224"/>
      <c r="AV224" s="10"/>
      <c r="BA224"/>
      <c r="BG224"/>
      <c r="BH224" s="10"/>
      <c r="BO224" s="10"/>
      <c r="CH224"/>
      <c r="CI224"/>
      <c r="CJ224"/>
      <c r="CK224"/>
    </row>
    <row r="225" spans="21:89">
      <c r="U225" s="10"/>
      <c r="V225" s="10"/>
      <c r="W225" s="10"/>
      <c r="X225" s="10"/>
      <c r="Y225" s="10"/>
      <c r="Z225" s="8"/>
      <c r="AB225" s="10"/>
      <c r="AC225" s="10"/>
      <c r="AE225" s="10"/>
      <c r="AF225"/>
      <c r="AJ225" s="10"/>
      <c r="AR225"/>
      <c r="AV225" s="10"/>
      <c r="BA225"/>
      <c r="BG225"/>
      <c r="BH225" s="10"/>
      <c r="BO225" s="10"/>
      <c r="CH225"/>
      <c r="CI225"/>
      <c r="CJ225"/>
      <c r="CK225"/>
    </row>
    <row r="226" spans="21:89">
      <c r="U226" s="10"/>
      <c r="V226" s="10"/>
      <c r="W226" s="10"/>
      <c r="X226" s="10"/>
      <c r="Y226" s="10"/>
      <c r="Z226" s="8"/>
      <c r="AB226" s="10"/>
      <c r="AC226" s="10"/>
      <c r="AE226" s="10"/>
      <c r="AF226"/>
      <c r="AJ226" s="10"/>
      <c r="AR226"/>
      <c r="AV226" s="10"/>
      <c r="BA226"/>
      <c r="BG226"/>
      <c r="BH226" s="10"/>
      <c r="BO226" s="10"/>
      <c r="CH226"/>
      <c r="CI226"/>
      <c r="CJ226"/>
      <c r="CK226"/>
    </row>
    <row r="227" spans="21:89">
      <c r="U227" s="10"/>
      <c r="V227" s="10"/>
      <c r="W227" s="10"/>
      <c r="X227" s="10"/>
      <c r="Y227" s="10"/>
      <c r="Z227" s="8"/>
      <c r="AB227" s="10"/>
      <c r="AC227" s="10"/>
      <c r="AE227" s="10"/>
      <c r="AF227"/>
      <c r="AJ227" s="10"/>
      <c r="AR227"/>
      <c r="AV227" s="10"/>
      <c r="BA227"/>
      <c r="BG227"/>
      <c r="BH227" s="10"/>
      <c r="BO227" s="10"/>
      <c r="CH227"/>
      <c r="CI227"/>
      <c r="CJ227"/>
      <c r="CK227"/>
    </row>
    <row r="228" spans="21:89">
      <c r="U228" s="10"/>
      <c r="V228" s="10"/>
      <c r="W228" s="10"/>
      <c r="X228" s="10"/>
      <c r="Y228" s="10"/>
      <c r="Z228" s="8"/>
      <c r="AB228" s="10"/>
      <c r="AC228" s="10"/>
      <c r="AE228" s="10"/>
      <c r="AF228"/>
      <c r="AJ228" s="10"/>
      <c r="AR228"/>
      <c r="AV228" s="10"/>
      <c r="BA228"/>
      <c r="BG228"/>
      <c r="BH228" s="10"/>
      <c r="BO228" s="10"/>
      <c r="CH228"/>
      <c r="CI228"/>
      <c r="CJ228"/>
      <c r="CK228"/>
    </row>
    <row r="229" spans="21:89">
      <c r="U229" s="10"/>
      <c r="V229" s="10"/>
      <c r="W229" s="10"/>
      <c r="X229" s="10"/>
      <c r="Y229" s="10"/>
      <c r="Z229" s="8"/>
      <c r="AB229" s="10"/>
      <c r="AC229" s="10"/>
      <c r="AE229" s="10"/>
      <c r="AF229"/>
      <c r="AJ229" s="10"/>
      <c r="AR229"/>
      <c r="AV229" s="10"/>
      <c r="BA229"/>
      <c r="BG229"/>
      <c r="BH229" s="10"/>
      <c r="BO229" s="10"/>
      <c r="CH229"/>
      <c r="CI229"/>
      <c r="CJ229"/>
      <c r="CK229"/>
    </row>
    <row r="230" spans="21:89">
      <c r="U230" s="10"/>
      <c r="V230" s="10"/>
      <c r="W230" s="10"/>
      <c r="X230" s="10"/>
      <c r="Y230" s="10"/>
      <c r="Z230" s="8"/>
      <c r="AB230" s="10"/>
      <c r="AC230" s="10"/>
      <c r="AE230" s="10"/>
      <c r="AF230"/>
      <c r="AJ230" s="10"/>
      <c r="AR230"/>
      <c r="AV230" s="10"/>
      <c r="BA230"/>
      <c r="BG230"/>
      <c r="BH230" s="10"/>
      <c r="BO230" s="10"/>
      <c r="CH230"/>
      <c r="CI230"/>
      <c r="CJ230"/>
      <c r="CK230"/>
    </row>
    <row r="231" spans="21:89">
      <c r="U231" s="10"/>
      <c r="V231" s="10"/>
      <c r="W231" s="10"/>
      <c r="X231" s="10"/>
      <c r="Y231" s="10"/>
      <c r="Z231" s="8"/>
      <c r="AB231" s="10"/>
      <c r="AC231" s="10"/>
      <c r="AE231" s="10"/>
      <c r="AF231"/>
      <c r="AJ231" s="10"/>
      <c r="AR231"/>
      <c r="AV231" s="10"/>
      <c r="BA231"/>
      <c r="BG231"/>
      <c r="BH231" s="10"/>
      <c r="BO231" s="10"/>
      <c r="CH231"/>
      <c r="CI231"/>
      <c r="CJ231"/>
      <c r="CK231"/>
    </row>
    <row r="232" spans="21:89">
      <c r="U232" s="10"/>
      <c r="V232" s="10"/>
      <c r="W232" s="10"/>
      <c r="X232" s="10"/>
      <c r="Y232" s="10"/>
      <c r="Z232" s="8"/>
      <c r="AB232" s="10"/>
      <c r="AC232" s="10"/>
      <c r="AE232" s="10"/>
      <c r="AF232"/>
      <c r="AJ232" s="10"/>
      <c r="AR232"/>
      <c r="AV232" s="10"/>
      <c r="BA232"/>
      <c r="BG232"/>
      <c r="BH232" s="10"/>
      <c r="BO232" s="10"/>
      <c r="CH232"/>
      <c r="CI232"/>
      <c r="CJ232"/>
      <c r="CK232"/>
    </row>
    <row r="233" spans="21:89">
      <c r="U233" s="10"/>
      <c r="V233" s="10"/>
      <c r="W233" s="10"/>
      <c r="X233" s="10"/>
      <c r="Y233" s="10"/>
      <c r="Z233" s="8"/>
      <c r="AB233" s="10"/>
      <c r="AC233" s="10"/>
      <c r="AE233" s="10"/>
      <c r="AF233"/>
      <c r="AJ233" s="10"/>
      <c r="AR233"/>
      <c r="AV233" s="10"/>
      <c r="BA233"/>
      <c r="BG233"/>
      <c r="BH233" s="10"/>
      <c r="BO233" s="10"/>
      <c r="CH233"/>
      <c r="CI233"/>
      <c r="CJ233"/>
      <c r="CK233"/>
    </row>
    <row r="234" spans="21:89">
      <c r="U234" s="10"/>
      <c r="V234" s="10"/>
      <c r="W234" s="10"/>
      <c r="X234" s="10"/>
      <c r="Y234" s="10"/>
      <c r="Z234" s="8"/>
      <c r="AB234" s="10"/>
      <c r="AC234" s="10"/>
      <c r="AE234" s="10"/>
      <c r="AF234"/>
      <c r="AJ234" s="10"/>
      <c r="AR234"/>
      <c r="AV234" s="10"/>
      <c r="BA234"/>
      <c r="BG234"/>
      <c r="BH234" s="10"/>
      <c r="BO234" s="10"/>
      <c r="CH234"/>
      <c r="CI234"/>
      <c r="CJ234"/>
      <c r="CK234"/>
    </row>
    <row r="235" spans="21:89">
      <c r="U235" s="10"/>
      <c r="V235" s="10"/>
      <c r="W235" s="10"/>
      <c r="X235" s="10"/>
      <c r="Y235" s="10"/>
      <c r="Z235" s="8"/>
      <c r="AB235" s="10"/>
      <c r="AC235" s="10"/>
      <c r="AE235" s="10"/>
      <c r="AF235"/>
      <c r="AJ235" s="10"/>
      <c r="AR235"/>
      <c r="AV235" s="10"/>
      <c r="BA235"/>
      <c r="BG235"/>
      <c r="BH235" s="10"/>
      <c r="BO235" s="10"/>
      <c r="CH235"/>
      <c r="CI235"/>
      <c r="CJ235"/>
      <c r="CK235"/>
    </row>
    <row r="236" spans="21:89">
      <c r="U236" s="10"/>
      <c r="V236" s="10"/>
      <c r="W236" s="10"/>
      <c r="X236" s="10"/>
      <c r="Y236" s="10"/>
      <c r="Z236" s="8"/>
      <c r="AB236" s="10"/>
      <c r="AC236" s="10"/>
      <c r="AE236" s="10"/>
      <c r="AF236"/>
      <c r="AJ236" s="10"/>
      <c r="AR236"/>
      <c r="AV236" s="10"/>
      <c r="BA236"/>
      <c r="BG236"/>
      <c r="BH236" s="10"/>
      <c r="BO236" s="10"/>
      <c r="CH236"/>
      <c r="CI236"/>
      <c r="CJ236"/>
      <c r="CK236"/>
    </row>
    <row r="237" spans="21:89">
      <c r="U237" s="10"/>
      <c r="V237" s="10"/>
      <c r="W237" s="10"/>
      <c r="X237" s="10"/>
      <c r="Y237" s="10"/>
      <c r="Z237" s="8"/>
      <c r="AB237" s="10"/>
      <c r="AC237" s="10"/>
      <c r="AE237" s="10"/>
      <c r="AF237"/>
      <c r="AJ237" s="10"/>
      <c r="AR237"/>
      <c r="AV237" s="10"/>
      <c r="BA237"/>
      <c r="BG237"/>
      <c r="BH237" s="10"/>
      <c r="BO237" s="10"/>
      <c r="CH237"/>
      <c r="CI237"/>
      <c r="CJ237"/>
      <c r="CK237"/>
    </row>
    <row r="238" spans="21:89">
      <c r="U238" s="10"/>
      <c r="V238" s="10"/>
      <c r="W238" s="10"/>
      <c r="X238" s="10"/>
      <c r="Y238" s="10"/>
      <c r="Z238" s="8"/>
      <c r="AB238" s="10"/>
      <c r="AC238" s="10"/>
      <c r="AE238" s="10"/>
      <c r="AF238"/>
      <c r="AJ238" s="10"/>
      <c r="AR238"/>
      <c r="AV238" s="10"/>
      <c r="BA238"/>
      <c r="BG238"/>
      <c r="BH238" s="10"/>
      <c r="BO238" s="10"/>
      <c r="CH238"/>
      <c r="CI238"/>
      <c r="CJ238"/>
      <c r="CK238"/>
    </row>
    <row r="239" spans="21:89">
      <c r="U239" s="10"/>
      <c r="V239" s="10"/>
      <c r="W239" s="10"/>
      <c r="X239" s="10"/>
      <c r="Y239" s="10"/>
      <c r="Z239" s="8"/>
      <c r="AB239" s="10"/>
      <c r="AC239" s="10"/>
      <c r="AE239" s="10"/>
      <c r="AF239"/>
      <c r="AJ239" s="10"/>
      <c r="AR239"/>
      <c r="AV239" s="10"/>
      <c r="BA239"/>
      <c r="BG239"/>
      <c r="BH239" s="10"/>
      <c r="BO239" s="10"/>
      <c r="CH239"/>
      <c r="CI239"/>
      <c r="CJ239"/>
      <c r="CK239"/>
    </row>
    <row r="240" spans="21:89">
      <c r="U240" s="10"/>
      <c r="V240" s="10"/>
      <c r="W240" s="10"/>
      <c r="X240" s="10"/>
      <c r="Y240" s="10"/>
      <c r="Z240" s="8"/>
      <c r="AB240" s="10"/>
      <c r="AC240" s="10"/>
      <c r="AE240" s="10"/>
      <c r="AF240"/>
      <c r="AJ240" s="10"/>
      <c r="AR240"/>
      <c r="AV240" s="10"/>
      <c r="BA240"/>
      <c r="BG240"/>
      <c r="BH240" s="10"/>
      <c r="BO240" s="10"/>
      <c r="CH240"/>
      <c r="CI240"/>
      <c r="CJ240"/>
      <c r="CK240"/>
    </row>
    <row r="241" spans="21:89">
      <c r="U241" s="10"/>
      <c r="V241" s="10"/>
      <c r="W241" s="10"/>
      <c r="X241" s="10"/>
      <c r="Y241" s="10"/>
      <c r="Z241" s="8"/>
      <c r="AB241" s="10"/>
      <c r="AC241" s="10"/>
      <c r="AE241" s="10"/>
      <c r="AF241"/>
      <c r="AJ241" s="10"/>
      <c r="AR241"/>
      <c r="AV241" s="10"/>
      <c r="BA241"/>
      <c r="BG241"/>
      <c r="BH241" s="10"/>
      <c r="BO241" s="10"/>
      <c r="CH241"/>
      <c r="CI241"/>
      <c r="CJ241"/>
      <c r="CK241"/>
    </row>
    <row r="242" spans="21:89">
      <c r="U242" s="10"/>
      <c r="V242" s="10"/>
      <c r="W242" s="10"/>
      <c r="X242" s="10"/>
      <c r="Y242" s="10"/>
      <c r="Z242" s="8"/>
      <c r="AB242" s="10"/>
      <c r="AC242" s="10"/>
      <c r="AE242" s="10"/>
      <c r="AF242"/>
      <c r="AJ242" s="10"/>
      <c r="AR242"/>
      <c r="AV242" s="10"/>
      <c r="BA242"/>
      <c r="BG242"/>
      <c r="BH242" s="10"/>
      <c r="BO242" s="10"/>
      <c r="CH242"/>
      <c r="CI242"/>
      <c r="CJ242"/>
      <c r="CK242"/>
    </row>
    <row r="243" spans="21:89">
      <c r="U243" s="10"/>
      <c r="V243" s="10"/>
      <c r="W243" s="10"/>
      <c r="X243" s="10"/>
      <c r="Y243" s="10"/>
      <c r="Z243" s="8"/>
      <c r="AB243" s="10"/>
      <c r="AC243" s="10"/>
      <c r="AE243" s="10"/>
      <c r="AF243"/>
      <c r="AJ243" s="10"/>
      <c r="AR243"/>
      <c r="AV243" s="10"/>
      <c r="BA243"/>
      <c r="BG243"/>
      <c r="BH243" s="10"/>
      <c r="BO243" s="10"/>
      <c r="CH243"/>
      <c r="CI243"/>
      <c r="CJ243"/>
      <c r="CK243"/>
    </row>
    <row r="244" spans="21:89">
      <c r="U244" s="10"/>
      <c r="V244" s="10"/>
      <c r="W244" s="10"/>
      <c r="X244" s="10"/>
      <c r="Y244" s="10"/>
      <c r="Z244" s="8"/>
      <c r="AB244" s="10"/>
      <c r="AC244" s="10"/>
      <c r="AE244" s="10"/>
      <c r="AF244"/>
      <c r="AJ244" s="10"/>
      <c r="AR244"/>
      <c r="AV244" s="10"/>
      <c r="BA244"/>
      <c r="BG244"/>
      <c r="BH244" s="10"/>
      <c r="BO244" s="10"/>
      <c r="CH244"/>
      <c r="CI244"/>
      <c r="CJ244"/>
      <c r="CK244"/>
    </row>
    <row r="245" spans="21:89">
      <c r="U245" s="10"/>
      <c r="V245" s="10"/>
      <c r="W245" s="10"/>
      <c r="X245" s="10"/>
      <c r="Y245" s="10"/>
      <c r="Z245" s="8"/>
      <c r="AB245" s="10"/>
      <c r="AC245" s="10"/>
      <c r="AE245" s="10"/>
      <c r="AF245"/>
      <c r="AJ245" s="10"/>
      <c r="AR245"/>
      <c r="AV245" s="10"/>
      <c r="BA245"/>
      <c r="BG245"/>
      <c r="BH245" s="10"/>
      <c r="BO245" s="10"/>
      <c r="CH245"/>
      <c r="CI245"/>
      <c r="CJ245"/>
      <c r="CK245"/>
    </row>
    <row r="246" spans="21:89">
      <c r="U246" s="10"/>
      <c r="V246" s="10"/>
      <c r="W246" s="10"/>
      <c r="X246" s="10"/>
      <c r="Y246" s="10"/>
      <c r="Z246" s="8"/>
      <c r="AB246" s="10"/>
      <c r="AC246" s="10"/>
      <c r="AE246" s="10"/>
      <c r="AF246"/>
      <c r="AJ246" s="10"/>
      <c r="AR246"/>
      <c r="AV246" s="10"/>
      <c r="BA246"/>
      <c r="BG246"/>
      <c r="BH246" s="10"/>
      <c r="BO246" s="10"/>
      <c r="CH246"/>
      <c r="CI246"/>
      <c r="CJ246"/>
      <c r="CK246"/>
    </row>
    <row r="247" spans="21:89">
      <c r="U247" s="10"/>
      <c r="V247" s="10"/>
      <c r="W247" s="10"/>
      <c r="X247" s="10"/>
      <c r="Y247" s="10"/>
      <c r="Z247" s="8"/>
      <c r="AB247" s="10"/>
      <c r="AC247" s="10"/>
      <c r="AE247" s="10"/>
      <c r="AF247"/>
      <c r="AJ247" s="10"/>
      <c r="AR247"/>
      <c r="AV247" s="10"/>
      <c r="BA247"/>
      <c r="BG247"/>
      <c r="BH247" s="10"/>
      <c r="BO247" s="10"/>
      <c r="CH247"/>
      <c r="CI247"/>
      <c r="CJ247"/>
      <c r="CK247"/>
    </row>
    <row r="248" spans="21:89">
      <c r="U248" s="10"/>
      <c r="V248" s="10"/>
      <c r="W248" s="10"/>
      <c r="X248" s="10"/>
      <c r="Y248" s="10"/>
      <c r="Z248" s="8"/>
      <c r="AB248" s="10"/>
      <c r="AC248" s="10"/>
      <c r="AE248" s="10"/>
      <c r="AF248"/>
      <c r="AJ248" s="10"/>
      <c r="AR248"/>
      <c r="AV248" s="10"/>
      <c r="BA248"/>
      <c r="BG248"/>
      <c r="BH248" s="10"/>
      <c r="BO248" s="10"/>
      <c r="CH248"/>
      <c r="CI248"/>
      <c r="CJ248"/>
      <c r="CK248"/>
    </row>
    <row r="249" spans="21:89">
      <c r="U249" s="10"/>
      <c r="V249" s="10"/>
      <c r="W249" s="10"/>
      <c r="X249" s="10"/>
      <c r="Y249" s="10"/>
      <c r="Z249" s="8"/>
      <c r="AB249" s="10"/>
      <c r="AC249" s="10"/>
      <c r="AE249" s="10"/>
      <c r="AF249"/>
      <c r="AJ249" s="10"/>
      <c r="AR249"/>
      <c r="AV249" s="10"/>
      <c r="BA249"/>
      <c r="BG249"/>
      <c r="BH249" s="10"/>
      <c r="BO249" s="10"/>
      <c r="CH249"/>
      <c r="CI249"/>
      <c r="CJ249"/>
      <c r="CK249"/>
    </row>
    <row r="250" spans="21:89">
      <c r="U250" s="10"/>
      <c r="V250" s="10"/>
      <c r="W250" s="10"/>
      <c r="X250" s="10"/>
      <c r="Y250" s="10"/>
      <c r="Z250" s="8"/>
      <c r="AB250" s="10"/>
      <c r="AC250" s="10"/>
      <c r="AE250" s="10"/>
      <c r="AF250"/>
      <c r="AJ250" s="10"/>
      <c r="AR250"/>
      <c r="AV250" s="10"/>
      <c r="BA250"/>
      <c r="BG250"/>
      <c r="BH250" s="10"/>
      <c r="BO250" s="10"/>
      <c r="CH250"/>
      <c r="CI250"/>
      <c r="CJ250"/>
      <c r="CK250"/>
    </row>
    <row r="251" spans="21:89">
      <c r="U251" s="10"/>
      <c r="V251" s="10"/>
      <c r="W251" s="10"/>
      <c r="X251" s="10"/>
      <c r="Y251" s="10"/>
      <c r="Z251" s="8"/>
      <c r="AB251" s="10"/>
      <c r="AC251" s="10"/>
      <c r="AE251" s="10"/>
      <c r="AF251"/>
      <c r="AJ251" s="10"/>
      <c r="AR251"/>
      <c r="AV251" s="10"/>
      <c r="BA251"/>
      <c r="BG251"/>
      <c r="BH251" s="10"/>
      <c r="BO251" s="10"/>
      <c r="CH251"/>
      <c r="CI251"/>
      <c r="CJ251"/>
      <c r="CK251"/>
    </row>
    <row r="252" spans="21:89">
      <c r="U252" s="10"/>
      <c r="V252" s="10"/>
      <c r="W252" s="10"/>
      <c r="X252" s="10"/>
      <c r="Y252" s="10"/>
      <c r="Z252" s="8"/>
      <c r="AB252" s="10"/>
      <c r="AC252" s="10"/>
      <c r="AE252" s="10"/>
      <c r="AF252"/>
      <c r="AJ252" s="10"/>
      <c r="AR252"/>
      <c r="AV252" s="10"/>
      <c r="BA252"/>
      <c r="BG252"/>
      <c r="BH252" s="10"/>
      <c r="BO252" s="10"/>
      <c r="CH252"/>
      <c r="CI252"/>
      <c r="CJ252"/>
      <c r="CK252"/>
    </row>
    <row r="253" spans="21:89">
      <c r="U253" s="10"/>
      <c r="V253" s="10"/>
      <c r="W253" s="10"/>
      <c r="X253" s="10"/>
      <c r="Y253" s="10"/>
      <c r="Z253" s="8"/>
      <c r="AB253" s="10"/>
      <c r="AC253" s="10"/>
      <c r="AE253" s="10"/>
      <c r="AF253"/>
      <c r="AJ253" s="10"/>
      <c r="AR253"/>
      <c r="AV253" s="10"/>
      <c r="BA253"/>
      <c r="BG253"/>
      <c r="BH253" s="10"/>
      <c r="BO253" s="10"/>
      <c r="CH253"/>
      <c r="CI253"/>
      <c r="CJ253"/>
      <c r="CK253"/>
    </row>
    <row r="254" spans="21:89">
      <c r="U254" s="10"/>
      <c r="V254" s="10"/>
      <c r="W254" s="10"/>
      <c r="X254" s="10"/>
      <c r="Y254" s="10"/>
      <c r="Z254" s="8"/>
      <c r="AB254" s="10"/>
      <c r="AC254" s="10"/>
      <c r="AE254" s="10"/>
      <c r="AF254"/>
      <c r="AJ254" s="10"/>
      <c r="AR254"/>
      <c r="AV254" s="10"/>
      <c r="BA254"/>
      <c r="BG254"/>
      <c r="BH254" s="10"/>
      <c r="BO254" s="10"/>
      <c r="CH254"/>
      <c r="CI254"/>
      <c r="CJ254"/>
      <c r="CK254"/>
    </row>
    <row r="255" spans="21:89">
      <c r="U255" s="10"/>
      <c r="V255" s="10"/>
      <c r="W255" s="10"/>
      <c r="X255" s="10"/>
      <c r="Y255" s="10"/>
      <c r="Z255" s="8"/>
      <c r="AB255" s="10"/>
      <c r="AC255" s="10"/>
      <c r="AE255" s="10"/>
      <c r="AF255"/>
      <c r="AJ255" s="10"/>
      <c r="AR255"/>
      <c r="AV255" s="10"/>
      <c r="BA255"/>
      <c r="BG255"/>
      <c r="BH255" s="10"/>
      <c r="BO255" s="10"/>
      <c r="CH255"/>
      <c r="CI255"/>
      <c r="CJ255"/>
      <c r="CK255"/>
    </row>
    <row r="256" spans="21:89">
      <c r="U256" s="10"/>
      <c r="V256" s="10"/>
      <c r="W256" s="10"/>
      <c r="X256" s="10"/>
      <c r="Y256" s="10"/>
      <c r="Z256" s="8"/>
      <c r="AB256" s="10"/>
      <c r="AC256" s="10"/>
      <c r="AE256" s="10"/>
      <c r="AF256"/>
      <c r="AJ256" s="10"/>
      <c r="AR256"/>
      <c r="AV256" s="10"/>
      <c r="BA256"/>
      <c r="BG256"/>
      <c r="BH256" s="10"/>
      <c r="BO256" s="10"/>
      <c r="CH256"/>
      <c r="CI256"/>
      <c r="CJ256"/>
      <c r="CK256"/>
    </row>
    <row r="257" spans="21:89">
      <c r="U257" s="10"/>
      <c r="V257" s="10"/>
      <c r="W257" s="10"/>
      <c r="X257" s="10"/>
      <c r="Y257" s="10"/>
      <c r="Z257" s="8"/>
      <c r="AB257" s="10"/>
      <c r="AC257" s="10"/>
      <c r="AE257" s="10"/>
      <c r="AF257"/>
      <c r="AJ257" s="10"/>
      <c r="AR257"/>
      <c r="AV257" s="10"/>
      <c r="BA257"/>
      <c r="BG257"/>
      <c r="BH257" s="10"/>
      <c r="BO257" s="10"/>
      <c r="CH257"/>
      <c r="CI257"/>
      <c r="CJ257"/>
      <c r="CK257"/>
    </row>
    <row r="258" spans="21:89">
      <c r="U258" s="10"/>
      <c r="V258" s="10"/>
      <c r="W258" s="10"/>
      <c r="X258" s="10"/>
      <c r="Y258" s="10"/>
      <c r="Z258" s="8"/>
      <c r="AB258" s="10"/>
      <c r="AC258" s="10"/>
      <c r="AE258" s="10"/>
      <c r="AF258"/>
      <c r="AJ258" s="10"/>
      <c r="AR258"/>
      <c r="AV258" s="10"/>
      <c r="BA258"/>
      <c r="BG258"/>
      <c r="BH258" s="10"/>
      <c r="BO258" s="10"/>
      <c r="CH258"/>
      <c r="CI258"/>
      <c r="CJ258"/>
      <c r="CK258"/>
    </row>
    <row r="259" spans="21:89">
      <c r="U259" s="10"/>
      <c r="V259" s="10"/>
      <c r="W259" s="10"/>
      <c r="X259" s="10"/>
      <c r="Y259" s="10"/>
      <c r="Z259" s="8"/>
      <c r="AB259" s="10"/>
      <c r="AC259" s="10"/>
      <c r="AE259" s="10"/>
      <c r="AF259"/>
      <c r="AJ259" s="10"/>
      <c r="AR259"/>
      <c r="AV259" s="10"/>
      <c r="BA259"/>
      <c r="BG259"/>
      <c r="BH259" s="10"/>
      <c r="BO259" s="10"/>
      <c r="CH259"/>
      <c r="CI259"/>
      <c r="CJ259"/>
      <c r="CK259"/>
    </row>
    <row r="260" spans="21:89">
      <c r="U260" s="10"/>
      <c r="V260" s="10"/>
      <c r="W260" s="10"/>
      <c r="X260" s="10"/>
      <c r="Y260" s="10"/>
      <c r="Z260" s="8"/>
      <c r="AB260" s="10"/>
      <c r="AC260" s="10"/>
      <c r="AE260" s="10"/>
      <c r="AF260"/>
      <c r="AJ260" s="10"/>
      <c r="AR260"/>
      <c r="AV260" s="10"/>
      <c r="BA260"/>
      <c r="BG260"/>
      <c r="BH260" s="10"/>
      <c r="BO260" s="10"/>
      <c r="CH260"/>
      <c r="CI260"/>
      <c r="CJ260"/>
      <c r="CK260"/>
    </row>
    <row r="261" spans="21:89">
      <c r="U261" s="10"/>
      <c r="V261" s="10"/>
      <c r="W261" s="10"/>
      <c r="X261" s="10"/>
      <c r="Y261" s="10"/>
      <c r="Z261" s="8"/>
      <c r="AB261" s="10"/>
      <c r="AC261" s="10"/>
      <c r="AE261" s="10"/>
      <c r="AF261"/>
      <c r="AJ261" s="10"/>
      <c r="AR261"/>
      <c r="AV261" s="10"/>
      <c r="BA261"/>
      <c r="BG261"/>
      <c r="BH261" s="10"/>
      <c r="BO261" s="10"/>
      <c r="CH261"/>
      <c r="CI261"/>
      <c r="CJ261"/>
      <c r="CK261"/>
    </row>
    <row r="262" spans="21:89">
      <c r="U262" s="10"/>
      <c r="V262" s="10"/>
      <c r="W262" s="10"/>
      <c r="X262" s="10"/>
      <c r="Y262" s="10"/>
      <c r="Z262" s="8"/>
      <c r="AB262" s="10"/>
      <c r="AC262" s="10"/>
      <c r="AE262" s="10"/>
      <c r="AF262"/>
      <c r="AJ262" s="10"/>
      <c r="AR262"/>
      <c r="AV262" s="10"/>
      <c r="BA262"/>
      <c r="BG262"/>
      <c r="BH262" s="10"/>
      <c r="BO262" s="10"/>
      <c r="CH262"/>
      <c r="CI262"/>
      <c r="CJ262"/>
      <c r="CK262"/>
    </row>
    <row r="263" spans="21:89">
      <c r="U263" s="10"/>
      <c r="V263" s="10"/>
      <c r="W263" s="10"/>
      <c r="X263" s="10"/>
      <c r="Y263" s="10"/>
      <c r="Z263" s="8"/>
      <c r="AB263" s="10"/>
      <c r="AC263" s="10"/>
      <c r="AE263" s="10"/>
      <c r="AF263"/>
      <c r="AJ263" s="10"/>
      <c r="AR263"/>
      <c r="AV263" s="10"/>
      <c r="BA263"/>
      <c r="BG263"/>
      <c r="BH263" s="10"/>
      <c r="BO263" s="10"/>
      <c r="CH263"/>
      <c r="CI263"/>
      <c r="CJ263"/>
      <c r="CK263"/>
    </row>
    <row r="264" spans="21:89">
      <c r="U264" s="10"/>
      <c r="V264" s="10"/>
      <c r="W264" s="10"/>
      <c r="X264" s="10"/>
      <c r="Y264" s="10"/>
      <c r="Z264" s="8"/>
      <c r="AB264" s="10"/>
      <c r="AC264" s="10"/>
      <c r="AE264" s="10"/>
      <c r="AF264"/>
      <c r="AJ264" s="10"/>
      <c r="AR264"/>
      <c r="AV264" s="10"/>
      <c r="BA264"/>
      <c r="BG264"/>
      <c r="BH264" s="10"/>
      <c r="BO264" s="10"/>
      <c r="CH264"/>
      <c r="CI264"/>
      <c r="CJ264"/>
      <c r="CK264"/>
    </row>
    <row r="265" spans="21:89">
      <c r="U265" s="10"/>
      <c r="V265" s="10"/>
      <c r="W265" s="10"/>
      <c r="X265" s="10"/>
      <c r="Y265" s="10"/>
      <c r="Z265" s="8"/>
      <c r="AB265" s="10"/>
      <c r="AC265" s="10"/>
      <c r="AE265" s="10"/>
      <c r="AF265"/>
      <c r="AJ265" s="10"/>
      <c r="AR265"/>
      <c r="AV265" s="10"/>
      <c r="BA265"/>
      <c r="BG265"/>
      <c r="BH265" s="10"/>
      <c r="BO265" s="10"/>
      <c r="CH265"/>
      <c r="CI265"/>
      <c r="CJ265"/>
      <c r="CK265"/>
    </row>
    <row r="266" spans="21:89">
      <c r="U266" s="10"/>
      <c r="V266" s="10"/>
      <c r="W266" s="10"/>
      <c r="X266" s="10"/>
      <c r="Y266" s="10"/>
      <c r="Z266" s="8"/>
      <c r="AB266" s="10"/>
      <c r="AC266" s="10"/>
      <c r="AE266" s="10"/>
      <c r="AF266"/>
      <c r="AJ266" s="10"/>
      <c r="AR266"/>
      <c r="AV266" s="10"/>
      <c r="BA266"/>
      <c r="BG266"/>
      <c r="BH266" s="10"/>
      <c r="BO266" s="10"/>
      <c r="CH266"/>
      <c r="CI266"/>
      <c r="CJ266"/>
      <c r="CK266"/>
    </row>
    <row r="267" spans="21:89">
      <c r="U267" s="10"/>
      <c r="V267" s="10"/>
      <c r="W267" s="10"/>
      <c r="X267" s="10"/>
      <c r="Y267" s="10"/>
      <c r="Z267" s="8"/>
      <c r="AB267" s="10"/>
      <c r="AC267" s="10"/>
      <c r="AE267" s="10"/>
      <c r="AF267"/>
      <c r="AJ267" s="10"/>
      <c r="AR267"/>
      <c r="AV267" s="10"/>
      <c r="BA267"/>
      <c r="BG267"/>
      <c r="BH267" s="10"/>
      <c r="BO267" s="10"/>
      <c r="CH267"/>
      <c r="CI267"/>
      <c r="CJ267"/>
      <c r="CK267"/>
    </row>
    <row r="268" spans="21:89">
      <c r="U268" s="10"/>
      <c r="V268" s="10"/>
      <c r="W268" s="10"/>
      <c r="X268" s="10"/>
      <c r="Y268" s="10"/>
      <c r="Z268" s="8"/>
      <c r="AB268" s="10"/>
      <c r="AC268" s="10"/>
      <c r="AE268" s="10"/>
      <c r="AF268"/>
      <c r="AJ268" s="10"/>
      <c r="AR268"/>
      <c r="AV268" s="10"/>
      <c r="BA268"/>
      <c r="BG268"/>
      <c r="BH268" s="10"/>
      <c r="BO268" s="10"/>
      <c r="CH268"/>
      <c r="CI268"/>
      <c r="CJ268"/>
      <c r="CK268"/>
    </row>
    <row r="269" spans="21:89">
      <c r="U269" s="10"/>
      <c r="V269" s="10"/>
      <c r="W269" s="10"/>
      <c r="X269" s="10"/>
      <c r="Y269" s="10"/>
      <c r="Z269" s="8"/>
      <c r="AB269" s="10"/>
      <c r="AC269" s="10"/>
      <c r="AE269" s="10"/>
      <c r="AF269"/>
      <c r="AJ269" s="10"/>
      <c r="AR269"/>
      <c r="AV269" s="10"/>
      <c r="BA269"/>
      <c r="BG269"/>
      <c r="BH269" s="10"/>
      <c r="BO269" s="10"/>
      <c r="CH269"/>
      <c r="CI269"/>
      <c r="CJ269"/>
      <c r="CK269"/>
    </row>
    <row r="270" spans="21:89">
      <c r="U270" s="10"/>
      <c r="V270" s="10"/>
      <c r="W270" s="10"/>
      <c r="X270" s="10"/>
      <c r="Y270" s="10"/>
      <c r="Z270" s="8"/>
      <c r="AB270" s="10"/>
      <c r="AC270" s="10"/>
      <c r="AE270" s="10"/>
      <c r="AF270"/>
      <c r="AJ270" s="10"/>
      <c r="AR270"/>
      <c r="AV270" s="10"/>
      <c r="BA270"/>
      <c r="BG270"/>
      <c r="BH270" s="10"/>
      <c r="BO270" s="10"/>
      <c r="CH270"/>
      <c r="CI270"/>
      <c r="CJ270"/>
      <c r="CK270"/>
    </row>
    <row r="271" spans="21:89">
      <c r="U271" s="10"/>
      <c r="V271" s="10"/>
      <c r="W271" s="10"/>
      <c r="X271" s="10"/>
      <c r="Y271" s="10"/>
      <c r="Z271" s="8"/>
      <c r="AB271" s="10"/>
      <c r="AC271" s="10"/>
      <c r="AE271" s="10"/>
      <c r="AF271"/>
      <c r="AJ271" s="10"/>
      <c r="AR271"/>
      <c r="AV271" s="10"/>
      <c r="BA271"/>
      <c r="BG271"/>
      <c r="BH271" s="10"/>
      <c r="BO271" s="10"/>
      <c r="CH271"/>
      <c r="CI271"/>
      <c r="CJ271"/>
      <c r="CK271"/>
    </row>
    <row r="272" spans="21:89">
      <c r="U272" s="10"/>
      <c r="V272" s="10"/>
      <c r="W272" s="10"/>
      <c r="X272" s="10"/>
      <c r="Y272" s="10"/>
      <c r="Z272" s="8"/>
      <c r="AB272" s="10"/>
      <c r="AC272" s="10"/>
      <c r="AE272" s="10"/>
      <c r="AF272"/>
      <c r="AJ272" s="10"/>
      <c r="AR272"/>
      <c r="AV272" s="10"/>
      <c r="BA272"/>
      <c r="BG272"/>
      <c r="BH272" s="10"/>
      <c r="BO272" s="10"/>
      <c r="CH272"/>
      <c r="CI272"/>
      <c r="CJ272"/>
      <c r="CK272"/>
    </row>
    <row r="273" spans="21:89">
      <c r="U273" s="10"/>
      <c r="V273" s="10"/>
      <c r="W273" s="10"/>
      <c r="X273" s="10"/>
      <c r="Y273" s="10"/>
      <c r="Z273" s="8"/>
      <c r="AB273" s="10"/>
      <c r="AC273" s="10"/>
      <c r="AE273" s="10"/>
      <c r="AF273"/>
      <c r="AJ273" s="10"/>
      <c r="AR273"/>
      <c r="AV273" s="10"/>
      <c r="BA273"/>
      <c r="BG273"/>
      <c r="BH273" s="10"/>
      <c r="BO273" s="10"/>
      <c r="CH273"/>
      <c r="CI273"/>
      <c r="CJ273"/>
      <c r="CK273"/>
    </row>
    <row r="274" spans="21:89">
      <c r="U274" s="10"/>
      <c r="V274" s="10"/>
      <c r="W274" s="10"/>
      <c r="X274" s="10"/>
      <c r="Y274" s="10"/>
      <c r="Z274" s="8"/>
      <c r="AB274" s="10"/>
      <c r="AC274" s="10"/>
      <c r="AE274" s="10"/>
      <c r="AF274"/>
      <c r="AJ274" s="10"/>
      <c r="AR274"/>
      <c r="AV274" s="10"/>
      <c r="BA274"/>
      <c r="BG274"/>
      <c r="BH274" s="10"/>
      <c r="BO274" s="10"/>
      <c r="CH274"/>
      <c r="CI274"/>
      <c r="CJ274"/>
      <c r="CK274"/>
    </row>
    <row r="275" spans="21:89">
      <c r="U275" s="10"/>
      <c r="V275" s="10"/>
      <c r="W275" s="10"/>
      <c r="X275" s="10"/>
      <c r="Y275" s="10"/>
      <c r="Z275" s="8"/>
      <c r="AB275" s="10"/>
      <c r="AC275" s="10"/>
      <c r="AE275" s="10"/>
      <c r="AF275"/>
      <c r="AJ275" s="10"/>
      <c r="AR275"/>
      <c r="AV275" s="10"/>
      <c r="BA275"/>
      <c r="BG275"/>
      <c r="BH275" s="10"/>
      <c r="BO275" s="10"/>
      <c r="CH275"/>
      <c r="CI275"/>
      <c r="CJ275"/>
      <c r="CK275"/>
    </row>
    <row r="276" spans="21:89">
      <c r="U276" s="10"/>
      <c r="V276" s="10"/>
      <c r="W276" s="10"/>
      <c r="X276" s="10"/>
      <c r="Y276" s="10"/>
      <c r="Z276" s="8"/>
      <c r="AB276" s="10"/>
      <c r="AC276" s="10"/>
      <c r="AE276" s="10"/>
      <c r="AF276"/>
      <c r="AJ276" s="10"/>
      <c r="AR276"/>
      <c r="AV276" s="10"/>
      <c r="BA276"/>
      <c r="BG276"/>
      <c r="BH276" s="10"/>
      <c r="BO276" s="10"/>
      <c r="CH276"/>
      <c r="CI276"/>
      <c r="CJ276"/>
      <c r="CK276"/>
    </row>
    <row r="277" spans="21:89">
      <c r="U277" s="10"/>
      <c r="V277" s="10"/>
      <c r="W277" s="10"/>
      <c r="X277" s="10"/>
      <c r="Y277" s="10"/>
      <c r="Z277" s="8"/>
      <c r="AB277" s="10"/>
      <c r="AC277" s="10"/>
      <c r="AE277" s="10"/>
      <c r="AF277"/>
      <c r="AJ277" s="10"/>
      <c r="AR277"/>
      <c r="AV277" s="10"/>
      <c r="BA277"/>
      <c r="BG277"/>
      <c r="BH277" s="10"/>
      <c r="BO277" s="10"/>
      <c r="CH277"/>
      <c r="CI277"/>
      <c r="CJ277"/>
      <c r="CK277"/>
    </row>
    <row r="278" spans="21:89">
      <c r="U278" s="10"/>
      <c r="V278" s="10"/>
      <c r="W278" s="10"/>
      <c r="X278" s="10"/>
      <c r="Y278" s="10"/>
      <c r="Z278" s="8"/>
      <c r="AB278" s="10"/>
      <c r="AC278" s="10"/>
      <c r="AE278" s="10"/>
      <c r="AF278"/>
      <c r="AJ278" s="10"/>
      <c r="AR278"/>
      <c r="AV278" s="10"/>
      <c r="BA278"/>
      <c r="BG278"/>
      <c r="BH278" s="10"/>
      <c r="BO278" s="10"/>
      <c r="CH278"/>
      <c r="CI278"/>
      <c r="CJ278"/>
      <c r="CK278"/>
    </row>
    <row r="279" spans="21:89">
      <c r="U279" s="10"/>
      <c r="V279" s="10"/>
      <c r="W279" s="10"/>
      <c r="X279" s="10"/>
      <c r="Y279" s="10"/>
      <c r="Z279" s="8"/>
      <c r="AB279" s="10"/>
      <c r="AC279" s="10"/>
      <c r="AE279" s="10"/>
      <c r="AF279"/>
      <c r="AJ279" s="10"/>
      <c r="AR279"/>
      <c r="AV279" s="10"/>
      <c r="BA279"/>
      <c r="BG279"/>
      <c r="BH279" s="10"/>
      <c r="BO279" s="10"/>
      <c r="CH279"/>
      <c r="CI279"/>
      <c r="CJ279"/>
      <c r="CK279"/>
    </row>
    <row r="280" spans="21:89">
      <c r="U280" s="10"/>
      <c r="V280" s="10"/>
      <c r="W280" s="10"/>
      <c r="X280" s="10"/>
      <c r="Y280" s="10"/>
      <c r="Z280" s="8"/>
      <c r="AB280" s="10"/>
      <c r="AC280" s="10"/>
      <c r="AE280" s="10"/>
      <c r="AF280"/>
      <c r="AJ280" s="10"/>
      <c r="AR280"/>
      <c r="AV280" s="10"/>
      <c r="BA280"/>
      <c r="BG280"/>
      <c r="BH280" s="10"/>
      <c r="BO280" s="10"/>
      <c r="CH280"/>
      <c r="CI280"/>
      <c r="CJ280"/>
      <c r="CK280"/>
    </row>
    <row r="281" spans="21:89">
      <c r="U281" s="10"/>
      <c r="V281" s="10"/>
      <c r="W281" s="10"/>
      <c r="X281" s="10"/>
      <c r="Y281" s="10"/>
      <c r="Z281" s="8"/>
      <c r="AB281" s="10"/>
      <c r="AC281" s="10"/>
      <c r="AE281" s="10"/>
      <c r="AF281"/>
      <c r="AJ281" s="10"/>
      <c r="AR281"/>
      <c r="AV281" s="10"/>
      <c r="BA281"/>
      <c r="BG281"/>
      <c r="BH281" s="10"/>
      <c r="BO281" s="10"/>
      <c r="CH281"/>
      <c r="CI281"/>
      <c r="CJ281"/>
      <c r="CK281"/>
    </row>
    <row r="282" spans="21:89">
      <c r="U282" s="10"/>
      <c r="V282" s="10"/>
      <c r="W282" s="10"/>
      <c r="X282" s="10"/>
      <c r="Y282" s="10"/>
      <c r="Z282" s="8"/>
      <c r="AB282" s="10"/>
      <c r="AC282" s="10"/>
      <c r="AE282" s="10"/>
      <c r="AF282"/>
      <c r="AJ282" s="10"/>
      <c r="AR282"/>
      <c r="AV282" s="10"/>
      <c r="BA282"/>
      <c r="BG282"/>
      <c r="BH282" s="10"/>
      <c r="BO282" s="10"/>
      <c r="CH282"/>
      <c r="CI282"/>
      <c r="CJ282"/>
      <c r="CK282"/>
    </row>
    <row r="283" spans="21:89">
      <c r="U283" s="10"/>
      <c r="V283" s="10"/>
      <c r="W283" s="10"/>
      <c r="X283" s="10"/>
      <c r="Y283" s="10"/>
      <c r="Z283" s="8"/>
      <c r="AB283" s="10"/>
      <c r="AC283" s="10"/>
      <c r="AE283" s="10"/>
      <c r="AF283"/>
      <c r="AJ283" s="10"/>
      <c r="AR283"/>
      <c r="AV283" s="10"/>
      <c r="BA283"/>
      <c r="BG283"/>
      <c r="BH283" s="10"/>
      <c r="BO283" s="10"/>
      <c r="CH283"/>
      <c r="CI283"/>
      <c r="CJ283"/>
      <c r="CK283"/>
    </row>
    <row r="284" spans="21:89">
      <c r="U284" s="10"/>
      <c r="V284" s="10"/>
      <c r="W284" s="10"/>
      <c r="X284" s="10"/>
      <c r="Y284" s="10"/>
      <c r="Z284" s="8"/>
      <c r="AB284" s="10"/>
      <c r="AC284" s="10"/>
      <c r="AE284" s="10"/>
      <c r="AF284"/>
      <c r="AJ284" s="10"/>
      <c r="AR284"/>
      <c r="AV284" s="10"/>
      <c r="BA284"/>
      <c r="BG284"/>
      <c r="BH284" s="10"/>
      <c r="BO284" s="10"/>
      <c r="CH284"/>
      <c r="CI284"/>
      <c r="CJ284"/>
      <c r="CK284"/>
    </row>
    <row r="285" spans="21:89">
      <c r="U285" s="10"/>
      <c r="V285" s="10"/>
      <c r="W285" s="10"/>
      <c r="X285" s="10"/>
      <c r="Y285" s="10"/>
      <c r="Z285" s="8"/>
      <c r="AB285" s="10"/>
      <c r="AC285" s="10"/>
      <c r="AE285" s="10"/>
      <c r="AF285"/>
      <c r="AJ285" s="10"/>
      <c r="AR285"/>
      <c r="AV285" s="10"/>
      <c r="BA285"/>
      <c r="BG285"/>
      <c r="BH285" s="10"/>
      <c r="BO285" s="10"/>
      <c r="CH285"/>
      <c r="CI285"/>
      <c r="CJ285"/>
      <c r="CK285"/>
    </row>
    <row r="286" spans="21:89">
      <c r="U286" s="10"/>
      <c r="V286" s="10"/>
      <c r="W286" s="10"/>
      <c r="X286" s="10"/>
      <c r="Y286" s="10"/>
      <c r="Z286" s="8"/>
      <c r="AB286" s="10"/>
      <c r="AC286" s="10"/>
      <c r="AE286" s="10"/>
      <c r="AF286"/>
      <c r="AJ286" s="10"/>
      <c r="AR286"/>
      <c r="AV286" s="10"/>
      <c r="BA286"/>
      <c r="BG286"/>
      <c r="BH286" s="10"/>
      <c r="BO286" s="10"/>
      <c r="CH286"/>
      <c r="CI286"/>
      <c r="CJ286"/>
      <c r="CK286"/>
    </row>
    <row r="287" spans="21:89">
      <c r="U287" s="10"/>
      <c r="V287" s="10"/>
      <c r="W287" s="10"/>
      <c r="X287" s="10"/>
      <c r="Y287" s="10"/>
      <c r="Z287" s="8"/>
      <c r="AB287" s="10"/>
      <c r="AC287" s="10"/>
      <c r="AE287" s="10"/>
      <c r="AF287"/>
      <c r="AJ287" s="10"/>
      <c r="AR287"/>
      <c r="AV287" s="10"/>
      <c r="BA287"/>
      <c r="BG287"/>
      <c r="BH287" s="10"/>
      <c r="BO287" s="10"/>
      <c r="CH287"/>
      <c r="CI287"/>
      <c r="CJ287"/>
      <c r="CK287"/>
    </row>
    <row r="288" spans="21:89">
      <c r="U288" s="10"/>
      <c r="V288" s="10"/>
      <c r="W288" s="10"/>
      <c r="X288" s="10"/>
      <c r="Y288" s="10"/>
      <c r="Z288" s="8"/>
      <c r="AB288" s="10"/>
      <c r="AC288" s="10"/>
      <c r="AE288" s="10"/>
      <c r="AF288"/>
      <c r="AJ288" s="10"/>
      <c r="AR288"/>
      <c r="AV288" s="10"/>
      <c r="BA288"/>
      <c r="BG288"/>
      <c r="BH288" s="10"/>
      <c r="BO288" s="10"/>
      <c r="CH288"/>
      <c r="CI288"/>
      <c r="CJ288"/>
      <c r="CK288"/>
    </row>
    <row r="289" spans="21:89">
      <c r="U289" s="10"/>
      <c r="V289" s="10"/>
      <c r="W289" s="10"/>
      <c r="X289" s="10"/>
      <c r="Y289" s="10"/>
      <c r="Z289" s="8"/>
      <c r="AB289" s="10"/>
      <c r="AC289" s="10"/>
      <c r="AE289" s="10"/>
      <c r="AF289"/>
      <c r="AJ289" s="10"/>
      <c r="AR289"/>
      <c r="AV289" s="10"/>
      <c r="BA289"/>
      <c r="BG289"/>
      <c r="BH289" s="10"/>
      <c r="BO289" s="10"/>
      <c r="CH289"/>
      <c r="CI289"/>
      <c r="CJ289"/>
      <c r="CK289"/>
    </row>
    <row r="290" spans="21:89">
      <c r="U290" s="10"/>
      <c r="V290" s="10"/>
      <c r="W290" s="10"/>
      <c r="X290" s="10"/>
      <c r="Y290" s="10"/>
      <c r="Z290" s="8"/>
      <c r="AB290" s="10"/>
      <c r="AC290" s="10"/>
      <c r="AE290" s="10"/>
      <c r="AF290"/>
      <c r="AJ290" s="10"/>
      <c r="AR290"/>
      <c r="AV290" s="10"/>
      <c r="BA290"/>
      <c r="BG290"/>
      <c r="BH290" s="10"/>
      <c r="BO290" s="10"/>
      <c r="CH290"/>
      <c r="CI290"/>
      <c r="CJ290"/>
      <c r="CK290"/>
    </row>
    <row r="291" spans="21:89">
      <c r="U291" s="10"/>
      <c r="V291" s="10"/>
      <c r="W291" s="10"/>
      <c r="X291" s="10"/>
      <c r="Y291" s="10"/>
      <c r="Z291" s="8"/>
      <c r="AB291" s="10"/>
      <c r="AC291" s="10"/>
      <c r="AE291" s="10"/>
      <c r="AF291"/>
      <c r="AJ291" s="10"/>
      <c r="AR291"/>
      <c r="AV291" s="10"/>
      <c r="BA291"/>
      <c r="BG291"/>
      <c r="BH291" s="10"/>
      <c r="BO291" s="10"/>
      <c r="CH291"/>
      <c r="CI291"/>
      <c r="CJ291"/>
      <c r="CK291"/>
    </row>
    <row r="292" spans="21:89">
      <c r="U292" s="10"/>
      <c r="V292" s="10"/>
      <c r="W292" s="10"/>
      <c r="X292" s="10"/>
      <c r="Y292" s="10"/>
      <c r="Z292" s="8"/>
      <c r="AB292" s="10"/>
      <c r="AC292" s="10"/>
      <c r="AE292" s="10"/>
      <c r="AF292"/>
      <c r="AJ292" s="10"/>
      <c r="AR292"/>
      <c r="AV292" s="10"/>
      <c r="BA292"/>
      <c r="BG292"/>
      <c r="BH292" s="10"/>
      <c r="BO292" s="10"/>
      <c r="CH292"/>
      <c r="CI292"/>
      <c r="CJ292"/>
      <c r="CK292"/>
    </row>
    <row r="293" spans="21:89">
      <c r="U293" s="10"/>
      <c r="V293" s="10"/>
      <c r="W293" s="10"/>
      <c r="X293" s="10"/>
      <c r="Y293" s="10"/>
      <c r="Z293" s="8"/>
      <c r="AB293" s="10"/>
      <c r="AC293" s="10"/>
      <c r="AE293" s="10"/>
      <c r="AF293"/>
      <c r="AJ293" s="10"/>
      <c r="AR293"/>
      <c r="AV293" s="10"/>
      <c r="BA293"/>
      <c r="BG293"/>
      <c r="BH293" s="10"/>
      <c r="BO293" s="10"/>
      <c r="CH293"/>
      <c r="CI293"/>
      <c r="CJ293"/>
      <c r="CK293"/>
    </row>
    <row r="294" spans="21:89">
      <c r="U294" s="10"/>
      <c r="V294" s="10"/>
      <c r="W294" s="10"/>
      <c r="X294" s="10"/>
      <c r="Y294" s="10"/>
      <c r="Z294" s="8"/>
      <c r="AB294" s="10"/>
      <c r="AC294" s="10"/>
      <c r="AE294" s="10"/>
      <c r="AF294"/>
      <c r="AJ294" s="10"/>
      <c r="AR294"/>
      <c r="AV294" s="10"/>
      <c r="BA294"/>
      <c r="BG294"/>
      <c r="BH294" s="10"/>
      <c r="BO294" s="10"/>
      <c r="CH294"/>
      <c r="CI294"/>
      <c r="CJ294"/>
      <c r="CK294"/>
    </row>
    <row r="295" spans="21:89">
      <c r="U295" s="10"/>
      <c r="V295" s="10"/>
      <c r="W295" s="10"/>
      <c r="X295" s="10"/>
      <c r="Y295" s="10"/>
      <c r="Z295" s="8"/>
      <c r="AB295" s="10"/>
      <c r="AC295" s="10"/>
      <c r="AE295" s="10"/>
      <c r="AF295"/>
      <c r="AJ295" s="10"/>
      <c r="AR295"/>
      <c r="AV295" s="10"/>
      <c r="BA295"/>
      <c r="BG295"/>
      <c r="BH295" s="10"/>
      <c r="BO295" s="10"/>
      <c r="CH295"/>
      <c r="CI295"/>
      <c r="CJ295"/>
      <c r="CK295"/>
    </row>
    <row r="296" spans="21:89">
      <c r="U296" s="10"/>
      <c r="V296" s="10"/>
      <c r="W296" s="10"/>
      <c r="X296" s="10"/>
      <c r="Y296" s="10"/>
      <c r="Z296" s="8"/>
      <c r="AB296" s="10"/>
      <c r="AC296" s="10"/>
      <c r="AE296" s="10"/>
      <c r="AF296"/>
      <c r="AJ296" s="10"/>
      <c r="AR296"/>
      <c r="AV296" s="10"/>
      <c r="BA296"/>
      <c r="BG296"/>
      <c r="BH296" s="10"/>
      <c r="BO296" s="10"/>
      <c r="CH296"/>
      <c r="CI296"/>
      <c r="CJ296"/>
      <c r="CK296"/>
    </row>
    <row r="297" spans="21:89">
      <c r="U297" s="10"/>
      <c r="V297" s="10"/>
      <c r="W297" s="10"/>
      <c r="X297" s="10"/>
      <c r="Y297" s="10"/>
      <c r="Z297" s="8"/>
      <c r="AB297" s="10"/>
      <c r="AC297" s="10"/>
      <c r="AE297" s="10"/>
      <c r="AF297"/>
      <c r="AJ297" s="10"/>
      <c r="AR297"/>
      <c r="AV297" s="10"/>
      <c r="BA297"/>
      <c r="BG297"/>
      <c r="BH297" s="10"/>
      <c r="BO297" s="10"/>
      <c r="CH297"/>
      <c r="CI297"/>
      <c r="CJ297"/>
      <c r="CK297"/>
    </row>
    <row r="298" spans="21:89">
      <c r="U298" s="10"/>
      <c r="V298" s="10"/>
      <c r="W298" s="10"/>
      <c r="X298" s="10"/>
      <c r="Y298" s="10"/>
      <c r="Z298" s="8"/>
      <c r="AB298" s="10"/>
      <c r="AC298" s="10"/>
      <c r="AE298" s="10"/>
      <c r="AF298"/>
      <c r="AJ298" s="10"/>
      <c r="AR298"/>
      <c r="AV298" s="10"/>
      <c r="BA298"/>
      <c r="BG298"/>
      <c r="BH298" s="10"/>
      <c r="BO298" s="10"/>
      <c r="CH298"/>
      <c r="CI298"/>
      <c r="CJ298"/>
      <c r="CK298"/>
    </row>
    <row r="299" spans="21:89">
      <c r="U299" s="10"/>
      <c r="V299" s="10"/>
      <c r="W299" s="10"/>
      <c r="X299" s="10"/>
      <c r="Y299" s="10"/>
      <c r="Z299" s="8"/>
      <c r="AB299" s="10"/>
      <c r="AC299" s="10"/>
      <c r="AE299" s="10"/>
      <c r="AF299"/>
      <c r="AJ299" s="10"/>
      <c r="AR299"/>
      <c r="AV299" s="10"/>
      <c r="BA299"/>
      <c r="BG299"/>
      <c r="BH299" s="10"/>
      <c r="BO299" s="10"/>
      <c r="CH299"/>
      <c r="CI299"/>
      <c r="CJ299"/>
      <c r="CK299"/>
    </row>
    <row r="300" spans="21:89">
      <c r="U300" s="10"/>
      <c r="V300" s="10"/>
      <c r="W300" s="10"/>
      <c r="X300" s="10"/>
      <c r="Y300" s="10"/>
      <c r="Z300" s="8"/>
      <c r="AB300" s="10"/>
      <c r="AC300" s="10"/>
      <c r="AE300" s="10"/>
      <c r="AF300"/>
      <c r="AJ300" s="10"/>
      <c r="AR300"/>
      <c r="AV300" s="10"/>
      <c r="BA300"/>
      <c r="BG300"/>
      <c r="BH300" s="10"/>
      <c r="BO300" s="10"/>
      <c r="CH300"/>
      <c r="CI300"/>
      <c r="CJ300"/>
      <c r="CK300"/>
    </row>
    <row r="301" spans="21:89">
      <c r="U301" s="10"/>
      <c r="V301" s="10"/>
      <c r="W301" s="10"/>
      <c r="X301" s="10"/>
      <c r="Y301" s="10"/>
      <c r="Z301" s="8"/>
      <c r="AB301" s="10"/>
      <c r="AC301" s="10"/>
      <c r="AE301" s="10"/>
      <c r="AF301"/>
      <c r="AJ301" s="10"/>
      <c r="AR301"/>
      <c r="AV301" s="10"/>
      <c r="BA301"/>
      <c r="BG301"/>
      <c r="BH301" s="10"/>
      <c r="BO301" s="10"/>
      <c r="CH301"/>
      <c r="CI301"/>
      <c r="CJ301"/>
      <c r="CK301"/>
    </row>
    <row r="302" spans="21:89">
      <c r="U302" s="10"/>
      <c r="V302" s="10"/>
      <c r="W302" s="10"/>
      <c r="X302" s="10"/>
      <c r="Y302" s="10"/>
      <c r="Z302" s="8"/>
      <c r="AB302" s="10"/>
      <c r="AC302" s="10"/>
      <c r="AE302" s="10"/>
      <c r="AF302"/>
      <c r="AJ302" s="10"/>
      <c r="AR302"/>
      <c r="AV302" s="10"/>
      <c r="BA302"/>
      <c r="BG302"/>
      <c r="BH302" s="10"/>
      <c r="BO302" s="10"/>
      <c r="CH302"/>
      <c r="CI302"/>
      <c r="CJ302"/>
      <c r="CK302"/>
    </row>
    <row r="303" spans="21:89">
      <c r="U303" s="10"/>
      <c r="V303" s="10"/>
      <c r="W303" s="10"/>
      <c r="X303" s="10"/>
      <c r="Y303" s="10"/>
      <c r="Z303" s="8"/>
      <c r="AB303" s="10"/>
      <c r="AC303" s="10"/>
      <c r="AE303" s="10"/>
      <c r="AF303"/>
      <c r="AJ303" s="10"/>
      <c r="AR303"/>
      <c r="AV303" s="10"/>
      <c r="BA303"/>
      <c r="BG303"/>
      <c r="BH303" s="10"/>
      <c r="BO303" s="10"/>
      <c r="CH303"/>
      <c r="CI303"/>
      <c r="CJ303"/>
      <c r="CK303"/>
    </row>
    <row r="304" spans="21:89">
      <c r="U304" s="10"/>
      <c r="V304" s="10"/>
      <c r="W304" s="10"/>
      <c r="X304" s="10"/>
      <c r="Y304" s="10"/>
      <c r="Z304" s="8"/>
      <c r="AB304" s="10"/>
      <c r="AC304" s="10"/>
      <c r="AE304" s="10"/>
      <c r="AF304"/>
      <c r="AJ304" s="10"/>
      <c r="AR304"/>
      <c r="AV304" s="10"/>
      <c r="BA304"/>
      <c r="BG304"/>
      <c r="BH304" s="10"/>
      <c r="BO304" s="10"/>
      <c r="CH304"/>
      <c r="CI304"/>
      <c r="CJ304"/>
      <c r="CK304"/>
    </row>
    <row r="305" spans="21:89">
      <c r="U305" s="10"/>
      <c r="V305" s="10"/>
      <c r="W305" s="10"/>
      <c r="X305" s="10"/>
      <c r="Y305" s="10"/>
      <c r="Z305" s="8"/>
      <c r="AB305" s="10"/>
      <c r="AC305" s="10"/>
      <c r="AE305" s="10"/>
      <c r="AF305"/>
      <c r="AJ305" s="10"/>
      <c r="AR305"/>
      <c r="AV305" s="10"/>
      <c r="BA305"/>
      <c r="BG305"/>
      <c r="BH305" s="10"/>
      <c r="BO305" s="10"/>
      <c r="CH305"/>
      <c r="CI305"/>
      <c r="CJ305"/>
      <c r="CK305"/>
    </row>
    <row r="306" spans="21:89">
      <c r="U306" s="10"/>
      <c r="V306" s="10"/>
      <c r="W306" s="10"/>
      <c r="X306" s="10"/>
      <c r="Y306" s="10"/>
      <c r="Z306" s="8"/>
      <c r="AB306" s="10"/>
      <c r="AC306" s="10"/>
      <c r="AE306" s="10"/>
      <c r="AF306"/>
      <c r="AJ306" s="10"/>
      <c r="AR306"/>
      <c r="AV306" s="10"/>
      <c r="BA306"/>
      <c r="BG306"/>
      <c r="BH306" s="10"/>
      <c r="BO306" s="10"/>
      <c r="CH306"/>
      <c r="CI306"/>
      <c r="CJ306"/>
      <c r="CK306"/>
    </row>
    <row r="307" spans="21:89">
      <c r="U307" s="10"/>
      <c r="V307" s="10"/>
      <c r="W307" s="10"/>
      <c r="X307" s="10"/>
      <c r="Y307" s="10"/>
      <c r="Z307" s="8"/>
      <c r="AB307" s="10"/>
      <c r="AC307" s="10"/>
      <c r="AE307" s="10"/>
      <c r="AF307"/>
      <c r="AJ307" s="10"/>
      <c r="AR307"/>
      <c r="AV307" s="10"/>
      <c r="BA307"/>
      <c r="BG307"/>
      <c r="BH307" s="10"/>
      <c r="BO307" s="10"/>
      <c r="CH307"/>
      <c r="CI307"/>
      <c r="CJ307"/>
      <c r="CK307"/>
    </row>
    <row r="308" spans="21:89">
      <c r="U308" s="10"/>
      <c r="V308" s="10"/>
      <c r="W308" s="10"/>
      <c r="X308" s="10"/>
      <c r="Y308" s="10"/>
      <c r="Z308" s="8"/>
      <c r="AB308" s="10"/>
      <c r="AC308" s="10"/>
      <c r="AE308" s="10"/>
      <c r="AF308"/>
      <c r="AJ308" s="10"/>
      <c r="AR308"/>
      <c r="AV308" s="10"/>
      <c r="BA308"/>
      <c r="BG308"/>
      <c r="BH308" s="10"/>
      <c r="BO308" s="10"/>
      <c r="CH308"/>
      <c r="CI308"/>
      <c r="CJ308"/>
      <c r="CK308"/>
    </row>
    <row r="309" spans="21:89">
      <c r="U309" s="10"/>
      <c r="V309" s="10"/>
      <c r="W309" s="10"/>
      <c r="X309" s="10"/>
      <c r="Y309" s="10"/>
      <c r="Z309" s="8"/>
      <c r="AB309" s="10"/>
      <c r="AC309" s="10"/>
      <c r="AE309" s="10"/>
      <c r="AF309"/>
      <c r="AJ309" s="10"/>
      <c r="AR309"/>
      <c r="AV309" s="10"/>
      <c r="BA309"/>
      <c r="BG309"/>
      <c r="BH309" s="10"/>
      <c r="BO309" s="10"/>
      <c r="CH309"/>
      <c r="CI309"/>
      <c r="CJ309"/>
      <c r="CK309"/>
    </row>
    <row r="310" spans="21:89">
      <c r="U310" s="10"/>
      <c r="V310" s="10"/>
      <c r="W310" s="10"/>
      <c r="X310" s="10"/>
      <c r="Y310" s="10"/>
      <c r="Z310" s="8"/>
      <c r="AB310" s="10"/>
      <c r="AC310" s="10"/>
      <c r="AE310" s="10"/>
      <c r="AF310"/>
      <c r="AJ310" s="10"/>
      <c r="AR310"/>
      <c r="AV310" s="10"/>
      <c r="BA310"/>
      <c r="BG310"/>
      <c r="BH310" s="10"/>
      <c r="BO310" s="10"/>
      <c r="CH310"/>
      <c r="CI310"/>
      <c r="CJ310"/>
      <c r="CK310"/>
    </row>
    <row r="311" spans="21:89">
      <c r="U311" s="10"/>
      <c r="V311" s="10"/>
      <c r="W311" s="10"/>
      <c r="X311" s="10"/>
      <c r="Y311" s="10"/>
      <c r="Z311" s="8"/>
      <c r="AB311" s="10"/>
      <c r="AC311" s="10"/>
      <c r="AE311" s="10"/>
      <c r="AF311"/>
      <c r="AJ311" s="10"/>
      <c r="AR311"/>
      <c r="AV311" s="10"/>
      <c r="BA311"/>
      <c r="BG311"/>
      <c r="BH311" s="10"/>
      <c r="BO311" s="10"/>
      <c r="CH311"/>
      <c r="CI311"/>
      <c r="CJ311"/>
      <c r="CK311"/>
    </row>
    <row r="312" spans="21:89">
      <c r="U312" s="10"/>
      <c r="V312" s="10"/>
      <c r="W312" s="10"/>
      <c r="X312" s="10"/>
      <c r="Y312" s="10"/>
      <c r="Z312" s="8"/>
      <c r="AB312" s="10"/>
      <c r="AC312" s="10"/>
      <c r="AE312" s="10"/>
      <c r="AF312"/>
      <c r="AJ312" s="10"/>
      <c r="AR312"/>
      <c r="AV312" s="10"/>
      <c r="BA312"/>
      <c r="BG312"/>
      <c r="BH312" s="10"/>
      <c r="BO312" s="10"/>
      <c r="CH312"/>
      <c r="CI312"/>
      <c r="CJ312"/>
      <c r="CK312"/>
    </row>
    <row r="313" spans="21:89">
      <c r="U313" s="10"/>
      <c r="V313" s="10"/>
      <c r="W313" s="10"/>
      <c r="X313" s="10"/>
      <c r="Y313" s="10"/>
      <c r="Z313" s="8"/>
      <c r="AB313" s="10"/>
      <c r="AC313" s="10"/>
      <c r="AE313" s="10"/>
      <c r="AF313"/>
      <c r="AJ313" s="10"/>
      <c r="AR313"/>
      <c r="AV313" s="10"/>
      <c r="BA313"/>
      <c r="BG313"/>
      <c r="BH313" s="10"/>
      <c r="BO313" s="10"/>
      <c r="CH313"/>
      <c r="CI313"/>
      <c r="CJ313"/>
      <c r="CK313"/>
    </row>
    <row r="314" spans="21:89">
      <c r="U314" s="10"/>
      <c r="V314" s="10"/>
      <c r="W314" s="10"/>
      <c r="X314" s="10"/>
      <c r="Y314" s="10"/>
      <c r="Z314" s="8"/>
      <c r="AB314" s="10"/>
      <c r="AC314" s="10"/>
      <c r="AE314" s="10"/>
      <c r="AF314"/>
      <c r="AJ314" s="10"/>
      <c r="AR314"/>
      <c r="AV314" s="10"/>
      <c r="BA314"/>
      <c r="BG314"/>
      <c r="BH314" s="10"/>
      <c r="BO314" s="10"/>
      <c r="CH314"/>
      <c r="CI314"/>
      <c r="CJ314"/>
      <c r="CK314"/>
    </row>
    <row r="315" spans="21:89">
      <c r="U315" s="10"/>
      <c r="V315" s="10"/>
      <c r="W315" s="10"/>
      <c r="X315" s="10"/>
      <c r="Y315" s="10"/>
      <c r="Z315" s="8"/>
      <c r="AB315" s="10"/>
      <c r="AC315" s="10"/>
      <c r="AE315" s="10"/>
      <c r="AF315"/>
      <c r="AJ315" s="10"/>
      <c r="AR315"/>
      <c r="AV315" s="10"/>
      <c r="BA315"/>
      <c r="BG315"/>
      <c r="BH315" s="10"/>
      <c r="BO315" s="10"/>
      <c r="CH315"/>
      <c r="CI315"/>
      <c r="CJ315"/>
      <c r="CK315"/>
    </row>
    <row r="316" spans="21:89">
      <c r="U316" s="10"/>
      <c r="V316" s="10"/>
      <c r="W316" s="10"/>
      <c r="X316" s="10"/>
      <c r="Y316" s="10"/>
      <c r="Z316" s="8"/>
      <c r="AB316" s="10"/>
      <c r="AC316" s="10"/>
      <c r="AE316" s="10"/>
      <c r="AF316"/>
      <c r="AJ316" s="10"/>
      <c r="AR316"/>
      <c r="AV316" s="10"/>
      <c r="BA316"/>
      <c r="BG316"/>
      <c r="BH316" s="10"/>
      <c r="BO316" s="10"/>
      <c r="CH316"/>
      <c r="CI316"/>
      <c r="CJ316"/>
      <c r="CK316"/>
    </row>
    <row r="317" spans="21:89">
      <c r="U317" s="10"/>
      <c r="V317" s="10"/>
      <c r="W317" s="10"/>
      <c r="X317" s="10"/>
      <c r="Y317" s="10"/>
      <c r="Z317" s="8"/>
      <c r="AB317" s="10"/>
      <c r="AC317" s="10"/>
      <c r="AE317" s="10"/>
      <c r="AF317"/>
      <c r="AJ317" s="10"/>
      <c r="AR317"/>
      <c r="AV317" s="10"/>
      <c r="BA317"/>
      <c r="BG317"/>
      <c r="BH317" s="10"/>
      <c r="BO317" s="10"/>
      <c r="CH317"/>
      <c r="CI317"/>
      <c r="CJ317"/>
      <c r="CK317"/>
    </row>
    <row r="318" spans="21:89">
      <c r="U318" s="10"/>
      <c r="V318" s="10"/>
      <c r="W318" s="10"/>
      <c r="X318" s="10"/>
      <c r="Y318" s="10"/>
      <c r="Z318" s="8"/>
      <c r="AB318" s="10"/>
      <c r="AC318" s="10"/>
      <c r="AE318" s="10"/>
      <c r="AF318"/>
      <c r="AJ318" s="10"/>
      <c r="AR318"/>
      <c r="AV318" s="10"/>
      <c r="BA318"/>
      <c r="BG318"/>
      <c r="BH318" s="10"/>
      <c r="BO318" s="10"/>
      <c r="CH318"/>
      <c r="CI318"/>
      <c r="CJ318"/>
      <c r="CK318"/>
    </row>
    <row r="319" spans="21:89">
      <c r="U319" s="10"/>
      <c r="V319" s="10"/>
      <c r="W319" s="10"/>
      <c r="X319" s="10"/>
      <c r="Y319" s="10"/>
      <c r="Z319" s="8"/>
      <c r="AB319" s="10"/>
      <c r="AC319" s="10"/>
      <c r="AE319" s="10"/>
      <c r="AF319"/>
      <c r="AJ319" s="10"/>
      <c r="AR319"/>
      <c r="AV319" s="10"/>
      <c r="BA319"/>
      <c r="BG319"/>
      <c r="BH319" s="10"/>
      <c r="BO319" s="10"/>
      <c r="CH319"/>
      <c r="CI319"/>
      <c r="CJ319"/>
      <c r="CK319"/>
    </row>
    <row r="320" spans="21:89">
      <c r="U320" s="10"/>
      <c r="V320" s="10"/>
      <c r="W320" s="10"/>
      <c r="X320" s="10"/>
      <c r="Y320" s="10"/>
      <c r="Z320" s="8"/>
      <c r="AB320" s="10"/>
      <c r="AC320" s="10"/>
      <c r="AE320" s="10"/>
      <c r="AF320"/>
      <c r="AJ320" s="10"/>
      <c r="AR320"/>
      <c r="AV320" s="10"/>
      <c r="BA320"/>
      <c r="BG320"/>
      <c r="BH320" s="10"/>
      <c r="BO320" s="10"/>
      <c r="CH320"/>
      <c r="CI320"/>
      <c r="CJ320"/>
      <c r="CK320"/>
    </row>
    <row r="321" spans="21:89">
      <c r="U321" s="10"/>
      <c r="V321" s="10"/>
      <c r="W321" s="10"/>
      <c r="X321" s="10"/>
      <c r="Y321" s="10"/>
      <c r="Z321" s="8"/>
      <c r="AB321" s="10"/>
      <c r="AC321" s="10"/>
      <c r="AE321" s="10"/>
      <c r="AF321"/>
      <c r="AJ321" s="10"/>
      <c r="AR321"/>
      <c r="AV321" s="10"/>
      <c r="BA321"/>
      <c r="BG321"/>
      <c r="BH321" s="10"/>
      <c r="BO321" s="10"/>
      <c r="CH321"/>
      <c r="CI321"/>
      <c r="CJ321"/>
      <c r="CK321"/>
    </row>
    <row r="322" spans="21:89">
      <c r="U322" s="10"/>
      <c r="V322" s="10"/>
      <c r="W322" s="10"/>
      <c r="X322" s="10"/>
      <c r="Y322" s="10"/>
      <c r="Z322" s="8"/>
      <c r="AB322" s="10"/>
      <c r="AC322" s="10"/>
      <c r="AE322" s="10"/>
      <c r="AF322"/>
      <c r="AJ322" s="10"/>
      <c r="AR322"/>
      <c r="AV322" s="10"/>
      <c r="BA322"/>
      <c r="BG322"/>
      <c r="BH322" s="10"/>
      <c r="BO322" s="10"/>
      <c r="CH322"/>
      <c r="CI322"/>
      <c r="CJ322"/>
      <c r="CK322"/>
    </row>
    <row r="323" spans="21:89">
      <c r="U323" s="10"/>
      <c r="V323" s="10"/>
      <c r="W323" s="10"/>
      <c r="X323" s="10"/>
      <c r="Y323" s="10"/>
      <c r="Z323" s="8"/>
      <c r="AB323" s="10"/>
      <c r="AC323" s="10"/>
      <c r="AE323" s="10"/>
      <c r="AF323"/>
      <c r="AJ323" s="10"/>
      <c r="AR323"/>
      <c r="AV323" s="10"/>
      <c r="BA323"/>
      <c r="BG323"/>
      <c r="BH323" s="10"/>
      <c r="BO323" s="10"/>
      <c r="CH323"/>
      <c r="CI323"/>
      <c r="CJ323"/>
      <c r="CK323"/>
    </row>
    <row r="324" spans="21:89">
      <c r="U324" s="10"/>
      <c r="V324" s="10"/>
      <c r="W324" s="10"/>
      <c r="X324" s="10"/>
      <c r="Y324" s="10"/>
      <c r="Z324" s="8"/>
      <c r="AB324" s="10"/>
      <c r="AC324" s="10"/>
      <c r="AE324" s="10"/>
      <c r="AF324"/>
      <c r="AJ324" s="10"/>
      <c r="AR324"/>
      <c r="AV324" s="10"/>
      <c r="BA324"/>
      <c r="BG324"/>
      <c r="BH324" s="10"/>
      <c r="BO324" s="10"/>
      <c r="CH324"/>
      <c r="CI324"/>
      <c r="CJ324"/>
      <c r="CK324"/>
    </row>
    <row r="325" spans="21:89">
      <c r="U325" s="10"/>
      <c r="V325" s="10"/>
      <c r="W325" s="10"/>
      <c r="X325" s="10"/>
      <c r="Y325" s="10"/>
      <c r="Z325" s="8"/>
      <c r="AB325" s="10"/>
      <c r="AC325" s="10"/>
      <c r="AE325" s="10"/>
      <c r="AF325"/>
      <c r="AJ325" s="10"/>
      <c r="AR325"/>
      <c r="AV325" s="10"/>
      <c r="BA325"/>
      <c r="BG325"/>
      <c r="BH325" s="10"/>
      <c r="BO325" s="10"/>
      <c r="CH325"/>
      <c r="CI325"/>
      <c r="CJ325"/>
      <c r="CK325"/>
    </row>
    <row r="326" spans="21:89">
      <c r="U326" s="10"/>
      <c r="V326" s="10"/>
      <c r="W326" s="10"/>
      <c r="X326" s="10"/>
      <c r="Y326" s="10"/>
      <c r="Z326" s="8"/>
      <c r="AB326" s="10"/>
      <c r="AC326" s="10"/>
      <c r="AE326" s="10"/>
      <c r="AF326"/>
      <c r="AJ326" s="10"/>
      <c r="AR326"/>
      <c r="AV326" s="10"/>
      <c r="BA326"/>
      <c r="BG326"/>
      <c r="BH326" s="10"/>
      <c r="BO326" s="10"/>
      <c r="CH326"/>
      <c r="CI326"/>
      <c r="CJ326"/>
      <c r="CK326"/>
    </row>
    <row r="327" spans="21:89">
      <c r="U327" s="10"/>
      <c r="V327" s="10"/>
      <c r="W327" s="10"/>
      <c r="X327" s="10"/>
      <c r="Y327" s="10"/>
      <c r="Z327" s="8"/>
      <c r="AB327" s="10"/>
      <c r="AC327" s="10"/>
      <c r="AE327" s="10"/>
      <c r="AF327"/>
      <c r="AJ327" s="10"/>
      <c r="AR327"/>
      <c r="AV327" s="10"/>
      <c r="BA327"/>
      <c r="BG327"/>
      <c r="BH327" s="10"/>
      <c r="BO327" s="10"/>
      <c r="CH327"/>
      <c r="CI327"/>
      <c r="CJ327"/>
      <c r="CK327"/>
    </row>
    <row r="328" spans="21:89">
      <c r="U328" s="10"/>
      <c r="V328" s="10"/>
      <c r="W328" s="10"/>
      <c r="X328" s="10"/>
      <c r="Y328" s="10"/>
      <c r="Z328" s="8"/>
      <c r="AB328" s="10"/>
      <c r="AC328" s="10"/>
      <c r="AE328" s="10"/>
      <c r="AF328"/>
      <c r="AJ328" s="10"/>
      <c r="AR328"/>
      <c r="AV328" s="10"/>
      <c r="BA328"/>
      <c r="BG328"/>
      <c r="BH328" s="10"/>
      <c r="BO328" s="10"/>
      <c r="CH328"/>
      <c r="CI328"/>
      <c r="CJ328"/>
      <c r="CK328"/>
    </row>
    <row r="329" spans="21:89">
      <c r="U329" s="10"/>
      <c r="V329" s="10"/>
      <c r="W329" s="10"/>
      <c r="X329" s="10"/>
      <c r="Y329" s="10"/>
      <c r="Z329" s="8"/>
      <c r="AB329" s="10"/>
      <c r="AC329" s="10"/>
      <c r="AE329" s="10"/>
      <c r="AF329"/>
      <c r="AJ329" s="10"/>
      <c r="AR329"/>
      <c r="AV329" s="10"/>
      <c r="BA329"/>
      <c r="BG329"/>
      <c r="BH329" s="10"/>
      <c r="BO329" s="10"/>
      <c r="CH329"/>
      <c r="CI329"/>
      <c r="CJ329"/>
      <c r="CK329"/>
    </row>
    <row r="330" spans="21:89">
      <c r="U330" s="10"/>
      <c r="V330" s="10"/>
      <c r="W330" s="10"/>
      <c r="X330" s="10"/>
      <c r="Y330" s="10"/>
      <c r="Z330" s="8"/>
      <c r="AB330" s="10"/>
      <c r="AC330" s="10"/>
      <c r="AE330" s="10"/>
      <c r="AF330"/>
      <c r="AJ330" s="10"/>
      <c r="AR330"/>
      <c r="AV330" s="10"/>
      <c r="BA330"/>
      <c r="BG330"/>
      <c r="BH330" s="10"/>
      <c r="BO330" s="10"/>
      <c r="CH330"/>
      <c r="CI330"/>
      <c r="CJ330"/>
      <c r="CK330"/>
    </row>
    <row r="331" spans="21:89">
      <c r="U331" s="10"/>
      <c r="V331" s="10"/>
      <c r="W331" s="10"/>
      <c r="X331" s="10"/>
      <c r="Y331" s="10"/>
      <c r="Z331" s="8"/>
      <c r="AB331" s="10"/>
      <c r="AC331" s="10"/>
      <c r="AE331" s="10"/>
      <c r="AF331"/>
      <c r="AJ331" s="10"/>
      <c r="AR331"/>
      <c r="AV331" s="10"/>
      <c r="BA331"/>
      <c r="BG331"/>
      <c r="BH331" s="10"/>
      <c r="BO331" s="10"/>
      <c r="CH331"/>
      <c r="CI331"/>
      <c r="CJ331"/>
      <c r="CK331"/>
    </row>
    <row r="332" spans="21:89">
      <c r="U332" s="10"/>
      <c r="V332" s="10"/>
      <c r="W332" s="10"/>
      <c r="X332" s="10"/>
      <c r="Y332" s="10"/>
      <c r="Z332" s="8"/>
      <c r="AB332" s="10"/>
      <c r="AC332" s="10"/>
      <c r="AE332" s="10"/>
      <c r="AF332"/>
      <c r="AJ332" s="10"/>
      <c r="AR332"/>
      <c r="AV332" s="10"/>
      <c r="BA332"/>
      <c r="BG332"/>
      <c r="BH332" s="10"/>
      <c r="BO332" s="10"/>
      <c r="CH332"/>
      <c r="CI332"/>
      <c r="CJ332"/>
      <c r="CK332"/>
    </row>
    <row r="333" spans="21:89">
      <c r="U333" s="10"/>
      <c r="V333" s="10"/>
      <c r="W333" s="10"/>
      <c r="X333" s="10"/>
      <c r="Y333" s="10"/>
      <c r="Z333" s="8"/>
      <c r="AB333" s="10"/>
      <c r="AC333" s="10"/>
      <c r="AE333" s="10"/>
      <c r="AF333"/>
      <c r="AJ333" s="10"/>
      <c r="AR333"/>
      <c r="AV333" s="10"/>
      <c r="BA333"/>
      <c r="BG333"/>
      <c r="BH333" s="10"/>
      <c r="BO333" s="10"/>
      <c r="CH333"/>
      <c r="CI333"/>
      <c r="CJ333"/>
      <c r="CK333"/>
    </row>
    <row r="334" spans="21:89">
      <c r="U334" s="10"/>
      <c r="V334" s="10"/>
      <c r="W334" s="10"/>
      <c r="X334" s="10"/>
      <c r="Y334" s="10"/>
      <c r="Z334" s="8"/>
      <c r="AB334" s="10"/>
      <c r="AC334" s="10"/>
      <c r="AE334" s="10"/>
      <c r="AF334"/>
      <c r="AJ334" s="10"/>
      <c r="AR334"/>
      <c r="AV334" s="10"/>
      <c r="BA334"/>
      <c r="BG334"/>
      <c r="BH334" s="10"/>
      <c r="BO334" s="10"/>
      <c r="CH334"/>
      <c r="CI334"/>
      <c r="CJ334"/>
      <c r="CK334"/>
    </row>
    <row r="335" spans="21:89">
      <c r="U335" s="10"/>
      <c r="V335" s="10"/>
      <c r="W335" s="10"/>
      <c r="X335" s="10"/>
      <c r="Y335" s="10"/>
      <c r="Z335" s="8"/>
      <c r="AB335" s="10"/>
      <c r="AC335" s="10"/>
      <c r="AE335" s="10"/>
      <c r="AF335"/>
      <c r="AJ335" s="10"/>
      <c r="AR335"/>
      <c r="AV335" s="10"/>
      <c r="BA335"/>
      <c r="BG335"/>
      <c r="BH335" s="10"/>
      <c r="BO335" s="10"/>
      <c r="CH335"/>
      <c r="CI335"/>
      <c r="CJ335"/>
      <c r="CK335"/>
    </row>
    <row r="336" spans="21:89">
      <c r="U336" s="10"/>
      <c r="V336" s="10"/>
      <c r="W336" s="10"/>
      <c r="X336" s="10"/>
      <c r="Y336" s="10"/>
      <c r="Z336" s="8"/>
      <c r="AB336" s="10"/>
      <c r="AC336" s="10"/>
      <c r="AE336" s="10"/>
      <c r="AF336"/>
      <c r="AJ336" s="10"/>
      <c r="AR336"/>
      <c r="AV336" s="10"/>
      <c r="BA336"/>
      <c r="BG336"/>
      <c r="BH336" s="10"/>
      <c r="BO336" s="10"/>
      <c r="CH336"/>
      <c r="CI336"/>
      <c r="CJ336"/>
      <c r="CK336"/>
    </row>
    <row r="337" spans="21:89">
      <c r="U337" s="10"/>
      <c r="V337" s="10"/>
      <c r="W337" s="10"/>
      <c r="X337" s="10"/>
      <c r="Y337" s="10"/>
      <c r="Z337" s="8"/>
      <c r="AB337" s="10"/>
      <c r="AC337" s="10"/>
      <c r="AE337" s="10"/>
      <c r="AF337"/>
      <c r="AJ337" s="10"/>
      <c r="AR337"/>
      <c r="AV337" s="10"/>
      <c r="BA337"/>
      <c r="BG337"/>
      <c r="BH337" s="10"/>
      <c r="BO337" s="10"/>
      <c r="CH337"/>
      <c r="CI337"/>
      <c r="CJ337"/>
      <c r="CK337"/>
    </row>
    <row r="338" spans="21:89">
      <c r="U338" s="10"/>
      <c r="V338" s="10"/>
      <c r="W338" s="10"/>
      <c r="X338" s="10"/>
      <c r="Y338" s="10"/>
      <c r="Z338" s="8"/>
      <c r="AB338" s="10"/>
      <c r="AC338" s="10"/>
      <c r="AE338" s="10"/>
      <c r="AF338"/>
      <c r="AJ338" s="10"/>
      <c r="AR338"/>
      <c r="AV338" s="10"/>
      <c r="BA338"/>
      <c r="BG338"/>
      <c r="BH338" s="10"/>
      <c r="BO338" s="10"/>
      <c r="CH338"/>
      <c r="CI338"/>
      <c r="CJ338"/>
      <c r="CK338"/>
    </row>
    <row r="339" spans="21:89">
      <c r="U339" s="10"/>
      <c r="V339" s="10"/>
      <c r="W339" s="10"/>
      <c r="X339" s="10"/>
      <c r="Y339" s="10"/>
      <c r="Z339" s="8"/>
      <c r="AB339" s="10"/>
      <c r="AC339" s="10"/>
      <c r="AE339" s="10"/>
      <c r="AF339"/>
      <c r="AJ339" s="10"/>
      <c r="AR339"/>
      <c r="AV339" s="10"/>
      <c r="BA339"/>
      <c r="BG339"/>
      <c r="BH339" s="10"/>
      <c r="BO339" s="10"/>
      <c r="CH339"/>
      <c r="CI339"/>
      <c r="CJ339"/>
      <c r="CK339"/>
    </row>
    <row r="340" spans="21:89">
      <c r="U340" s="10"/>
      <c r="V340" s="10"/>
      <c r="W340" s="10"/>
      <c r="X340" s="10"/>
      <c r="Y340" s="10"/>
      <c r="Z340" s="8"/>
      <c r="AB340" s="10"/>
      <c r="AC340" s="10"/>
      <c r="AE340" s="10"/>
      <c r="AF340"/>
      <c r="AJ340" s="10"/>
      <c r="AR340"/>
      <c r="AV340" s="10"/>
      <c r="BA340"/>
      <c r="BG340"/>
      <c r="BH340" s="10"/>
      <c r="BO340" s="10"/>
      <c r="CH340"/>
      <c r="CI340"/>
      <c r="CJ340"/>
      <c r="CK340"/>
    </row>
    <row r="341" spans="21:89">
      <c r="U341" s="10"/>
      <c r="V341" s="10"/>
      <c r="W341" s="10"/>
      <c r="X341" s="10"/>
      <c r="Y341" s="10"/>
      <c r="Z341" s="8"/>
      <c r="AB341" s="10"/>
      <c r="AC341" s="10"/>
      <c r="AE341" s="10"/>
      <c r="AF341"/>
      <c r="AJ341" s="10"/>
      <c r="AR341"/>
      <c r="AV341" s="10"/>
      <c r="BA341"/>
      <c r="BG341"/>
      <c r="BH341" s="10"/>
      <c r="BO341" s="10"/>
      <c r="CH341"/>
      <c r="CI341"/>
      <c r="CJ341"/>
      <c r="CK341"/>
    </row>
    <row r="342" spans="21:89">
      <c r="U342" s="10"/>
      <c r="V342" s="10"/>
      <c r="W342" s="10"/>
      <c r="X342" s="10"/>
      <c r="Y342" s="10"/>
      <c r="Z342" s="8"/>
      <c r="AB342" s="10"/>
      <c r="AC342" s="10"/>
      <c r="AE342" s="10"/>
      <c r="AF342"/>
      <c r="AJ342" s="10"/>
      <c r="AR342"/>
      <c r="AV342" s="10"/>
      <c r="BA342"/>
      <c r="BG342"/>
      <c r="BH342" s="10"/>
      <c r="BO342" s="10"/>
      <c r="CH342"/>
      <c r="CI342"/>
      <c r="CJ342"/>
      <c r="CK342"/>
    </row>
    <row r="343" spans="21:89">
      <c r="U343" s="10"/>
      <c r="V343" s="10"/>
      <c r="W343" s="10"/>
      <c r="X343" s="10"/>
      <c r="Y343" s="10"/>
      <c r="Z343" s="8"/>
      <c r="AB343" s="10"/>
      <c r="AC343" s="10"/>
      <c r="AE343" s="10"/>
      <c r="AF343"/>
      <c r="AJ343" s="10"/>
      <c r="AR343"/>
      <c r="AV343" s="10"/>
      <c r="BA343"/>
      <c r="BG343"/>
      <c r="BH343" s="10"/>
      <c r="BO343" s="10"/>
      <c r="CH343"/>
      <c r="CI343"/>
      <c r="CJ343"/>
      <c r="CK343"/>
    </row>
    <row r="344" spans="21:89">
      <c r="U344" s="10"/>
      <c r="V344" s="10"/>
      <c r="W344" s="10"/>
      <c r="X344" s="10"/>
      <c r="Y344" s="10"/>
      <c r="Z344" s="8"/>
      <c r="AB344" s="10"/>
      <c r="AC344" s="10"/>
      <c r="AE344" s="10"/>
      <c r="AF344"/>
      <c r="AJ344" s="10"/>
      <c r="AR344"/>
      <c r="AV344" s="10"/>
      <c r="BA344"/>
      <c r="BG344"/>
      <c r="BH344" s="10"/>
      <c r="BO344" s="10"/>
      <c r="CH344"/>
      <c r="CI344"/>
      <c r="CJ344"/>
      <c r="CK344"/>
    </row>
    <row r="345" spans="21:89">
      <c r="U345" s="10"/>
      <c r="V345" s="10"/>
      <c r="W345" s="10"/>
      <c r="X345" s="10"/>
      <c r="Y345" s="10"/>
      <c r="Z345" s="8"/>
      <c r="AB345" s="10"/>
      <c r="AC345" s="10"/>
      <c r="AE345" s="10"/>
      <c r="AF345"/>
      <c r="AJ345" s="10"/>
      <c r="AR345"/>
      <c r="AV345" s="10"/>
      <c r="BA345"/>
      <c r="BG345"/>
      <c r="BH345" s="10"/>
      <c r="BO345" s="10"/>
      <c r="CH345"/>
      <c r="CI345"/>
      <c r="CJ345"/>
      <c r="CK345"/>
    </row>
    <row r="346" spans="21:89">
      <c r="U346" s="10"/>
      <c r="V346" s="10"/>
      <c r="W346" s="10"/>
      <c r="X346" s="10"/>
      <c r="Y346" s="10"/>
      <c r="Z346" s="8"/>
      <c r="AB346" s="10"/>
      <c r="AC346" s="10"/>
      <c r="AE346" s="10"/>
      <c r="AF346"/>
      <c r="AJ346" s="10"/>
      <c r="AR346"/>
      <c r="AV346" s="10"/>
      <c r="BA346"/>
      <c r="BG346"/>
      <c r="BH346" s="10"/>
      <c r="BO346" s="10"/>
      <c r="CH346"/>
      <c r="CI346"/>
      <c r="CJ346"/>
      <c r="CK346"/>
    </row>
    <row r="347" spans="21:89">
      <c r="U347" s="10"/>
      <c r="V347" s="10"/>
      <c r="W347" s="10"/>
      <c r="X347" s="10"/>
      <c r="Y347" s="10"/>
      <c r="Z347" s="8"/>
      <c r="AB347" s="10"/>
      <c r="AC347" s="10"/>
      <c r="AE347" s="10"/>
      <c r="AF347"/>
      <c r="AJ347" s="10"/>
      <c r="AR347"/>
      <c r="AV347" s="10"/>
      <c r="BA347"/>
      <c r="BG347"/>
      <c r="BH347" s="10"/>
      <c r="BO347" s="10"/>
      <c r="CH347"/>
      <c r="CI347"/>
      <c r="CJ347"/>
      <c r="CK347"/>
    </row>
    <row r="348" spans="21:89">
      <c r="U348" s="10"/>
      <c r="V348" s="10"/>
      <c r="W348" s="10"/>
      <c r="X348" s="10"/>
      <c r="Y348" s="10"/>
      <c r="Z348" s="8"/>
      <c r="AB348" s="10"/>
      <c r="AC348" s="10"/>
      <c r="AE348" s="10"/>
      <c r="AF348"/>
      <c r="AJ348" s="10"/>
      <c r="AR348"/>
      <c r="AV348" s="10"/>
      <c r="BA348"/>
      <c r="BG348"/>
      <c r="BH348" s="10"/>
      <c r="BO348" s="10"/>
      <c r="CH348"/>
      <c r="CI348"/>
      <c r="CJ348"/>
      <c r="CK348"/>
    </row>
    <row r="349" spans="21:89">
      <c r="U349" s="10"/>
      <c r="V349" s="10"/>
      <c r="W349" s="10"/>
      <c r="X349" s="10"/>
      <c r="Y349" s="10"/>
      <c r="Z349" s="8"/>
      <c r="AB349" s="10"/>
      <c r="AC349" s="10"/>
      <c r="AE349" s="10"/>
      <c r="AF349"/>
      <c r="AJ349" s="10"/>
      <c r="AR349"/>
      <c r="AV349" s="10"/>
      <c r="BA349"/>
      <c r="BG349"/>
      <c r="BH349" s="10"/>
      <c r="BO349" s="10"/>
      <c r="CH349"/>
      <c r="CI349"/>
      <c r="CJ349"/>
      <c r="CK349"/>
    </row>
    <row r="350" spans="21:89">
      <c r="U350" s="10"/>
      <c r="V350" s="10"/>
      <c r="W350" s="10"/>
      <c r="X350" s="10"/>
      <c r="Y350" s="10"/>
      <c r="Z350" s="8"/>
      <c r="AB350" s="10"/>
      <c r="AC350" s="10"/>
      <c r="AE350" s="10"/>
      <c r="AF350"/>
      <c r="AJ350" s="10"/>
      <c r="AR350"/>
      <c r="AV350" s="10"/>
      <c r="BA350"/>
      <c r="BG350"/>
      <c r="BH350" s="10"/>
      <c r="BO350" s="10"/>
      <c r="CH350"/>
      <c r="CI350"/>
      <c r="CJ350"/>
      <c r="CK350"/>
    </row>
    <row r="351" spans="21:89">
      <c r="U351" s="10"/>
      <c r="V351" s="10"/>
      <c r="W351" s="10"/>
      <c r="X351" s="10"/>
      <c r="Y351" s="10"/>
      <c r="Z351" s="8"/>
      <c r="AB351" s="10"/>
      <c r="AC351" s="10"/>
      <c r="AE351" s="10"/>
      <c r="AF351"/>
      <c r="AJ351" s="10"/>
      <c r="AR351"/>
      <c r="AV351" s="10"/>
      <c r="BA351"/>
      <c r="BG351"/>
      <c r="BH351" s="10"/>
      <c r="BO351" s="10"/>
      <c r="CH351"/>
      <c r="CI351"/>
      <c r="CJ351"/>
      <c r="CK351"/>
    </row>
    <row r="352" spans="21:89">
      <c r="U352" s="10"/>
      <c r="V352" s="10"/>
      <c r="W352" s="10"/>
      <c r="X352" s="10"/>
      <c r="Y352" s="10"/>
      <c r="Z352" s="8"/>
      <c r="AB352" s="10"/>
      <c r="AC352" s="10"/>
      <c r="AE352" s="10"/>
      <c r="AF352"/>
      <c r="AJ352" s="10"/>
      <c r="AR352"/>
      <c r="AV352" s="10"/>
      <c r="BA352"/>
      <c r="BG352"/>
      <c r="BH352" s="10"/>
      <c r="BO352" s="10"/>
      <c r="CH352"/>
      <c r="CI352"/>
      <c r="CJ352"/>
      <c r="CK352"/>
    </row>
    <row r="353" spans="21:89">
      <c r="U353" s="10"/>
      <c r="V353" s="10"/>
      <c r="W353" s="10"/>
      <c r="X353" s="10"/>
      <c r="Y353" s="10"/>
      <c r="Z353" s="8"/>
      <c r="AB353" s="10"/>
      <c r="AC353" s="10"/>
      <c r="AE353" s="10"/>
      <c r="AF353"/>
      <c r="AJ353" s="10"/>
      <c r="AR353"/>
      <c r="AV353" s="10"/>
      <c r="BA353"/>
      <c r="BG353"/>
      <c r="BH353" s="10"/>
      <c r="BO353" s="10"/>
      <c r="CH353"/>
      <c r="CI353"/>
      <c r="CJ353"/>
      <c r="CK353"/>
    </row>
    <row r="354" spans="21:89">
      <c r="U354" s="10"/>
      <c r="V354" s="10"/>
      <c r="W354" s="10"/>
      <c r="X354" s="10"/>
      <c r="Y354" s="10"/>
      <c r="Z354" s="8"/>
      <c r="AB354" s="10"/>
      <c r="AC354" s="10"/>
      <c r="AE354" s="10"/>
      <c r="AF354"/>
      <c r="AJ354" s="10"/>
      <c r="AR354"/>
      <c r="AV354" s="10"/>
      <c r="BA354"/>
      <c r="BG354"/>
      <c r="BH354" s="10"/>
      <c r="BO354" s="10"/>
      <c r="CH354"/>
      <c r="CI354"/>
      <c r="CJ354"/>
      <c r="CK354"/>
    </row>
    <row r="355" spans="21:89">
      <c r="U355" s="10"/>
      <c r="V355" s="10"/>
      <c r="W355" s="10"/>
      <c r="X355" s="10"/>
      <c r="Y355" s="10"/>
      <c r="Z355" s="8"/>
      <c r="AB355" s="10"/>
      <c r="AC355" s="10"/>
      <c r="AE355" s="10"/>
      <c r="AF355"/>
      <c r="AJ355" s="10"/>
      <c r="AR355"/>
      <c r="AV355" s="10"/>
      <c r="BA355"/>
      <c r="BG355"/>
      <c r="BH355" s="10"/>
      <c r="BO355" s="10"/>
      <c r="CH355"/>
      <c r="CI355"/>
      <c r="CJ355"/>
      <c r="CK355"/>
    </row>
    <row r="356" spans="21:89">
      <c r="U356" s="10"/>
      <c r="V356" s="10"/>
      <c r="W356" s="10"/>
      <c r="X356" s="10"/>
      <c r="Y356" s="10"/>
      <c r="Z356" s="8"/>
      <c r="AB356" s="10"/>
      <c r="AC356" s="10"/>
      <c r="AE356" s="10"/>
      <c r="AF356"/>
      <c r="AJ356" s="10"/>
      <c r="AR356"/>
      <c r="AV356" s="10"/>
      <c r="BA356"/>
      <c r="BG356"/>
      <c r="BH356" s="10"/>
      <c r="BO356" s="10"/>
      <c r="CH356"/>
      <c r="CI356"/>
      <c r="CJ356"/>
      <c r="CK356"/>
    </row>
    <row r="357" spans="21:89">
      <c r="U357" s="10"/>
      <c r="V357" s="10"/>
      <c r="W357" s="10"/>
      <c r="X357" s="10"/>
      <c r="Y357" s="10"/>
      <c r="Z357" s="8"/>
      <c r="AB357" s="10"/>
      <c r="AC357" s="10"/>
      <c r="AE357" s="10"/>
      <c r="AF357"/>
      <c r="AJ357" s="10"/>
      <c r="AR357"/>
      <c r="AV357" s="10"/>
      <c r="BA357"/>
      <c r="BG357"/>
      <c r="BH357" s="10"/>
      <c r="BO357" s="10"/>
      <c r="CH357"/>
      <c r="CI357"/>
      <c r="CJ357"/>
      <c r="CK357"/>
    </row>
    <row r="358" spans="21:89">
      <c r="U358" s="10"/>
      <c r="V358" s="10"/>
      <c r="W358" s="10"/>
      <c r="X358" s="10"/>
      <c r="Y358" s="10"/>
      <c r="Z358" s="8"/>
      <c r="AB358" s="10"/>
      <c r="AC358" s="10"/>
      <c r="AE358" s="10"/>
      <c r="AF358"/>
      <c r="AJ358" s="10"/>
      <c r="AR358"/>
      <c r="AV358" s="10"/>
      <c r="BA358"/>
      <c r="BG358"/>
      <c r="BH358" s="10"/>
      <c r="BO358" s="10"/>
      <c r="CH358"/>
      <c r="CI358"/>
      <c r="CJ358"/>
      <c r="CK358"/>
    </row>
    <row r="359" spans="21:89">
      <c r="U359" s="10"/>
      <c r="V359" s="10"/>
      <c r="W359" s="10"/>
      <c r="X359" s="10"/>
      <c r="Y359" s="10"/>
      <c r="Z359" s="8"/>
      <c r="AB359" s="10"/>
      <c r="AC359" s="10"/>
      <c r="AE359" s="10"/>
      <c r="AF359"/>
      <c r="AJ359" s="10"/>
      <c r="AR359"/>
      <c r="AV359" s="10"/>
      <c r="BA359"/>
      <c r="BG359"/>
      <c r="BH359" s="10"/>
      <c r="BO359" s="10"/>
      <c r="CH359"/>
      <c r="CI359"/>
      <c r="CJ359"/>
      <c r="CK359"/>
    </row>
    <row r="360" spans="21:89">
      <c r="U360" s="10"/>
      <c r="V360" s="10"/>
      <c r="W360" s="10"/>
      <c r="X360" s="10"/>
      <c r="Y360" s="10"/>
      <c r="Z360" s="8"/>
      <c r="AB360" s="10"/>
      <c r="AC360" s="10"/>
      <c r="AE360" s="10"/>
      <c r="AF360"/>
      <c r="AJ360" s="10"/>
      <c r="AR360"/>
      <c r="AV360" s="10"/>
      <c r="BA360"/>
      <c r="BG360"/>
      <c r="BH360" s="10"/>
      <c r="BO360" s="10"/>
      <c r="CH360"/>
      <c r="CI360"/>
      <c r="CJ360"/>
      <c r="CK360"/>
    </row>
    <row r="361" spans="21:89">
      <c r="U361" s="10"/>
      <c r="V361" s="10"/>
      <c r="W361" s="10"/>
      <c r="X361" s="10"/>
      <c r="Y361" s="10"/>
      <c r="Z361" s="8"/>
      <c r="AB361" s="10"/>
      <c r="AC361" s="10"/>
      <c r="AE361" s="10"/>
      <c r="AF361"/>
      <c r="AJ361" s="10"/>
      <c r="AR361"/>
      <c r="AV361" s="10"/>
      <c r="BA361"/>
      <c r="BG361"/>
      <c r="BH361" s="10"/>
      <c r="BO361" s="10"/>
      <c r="CH361"/>
      <c r="CI361"/>
      <c r="CJ361"/>
      <c r="CK361"/>
    </row>
    <row r="362" spans="21:89">
      <c r="U362" s="10"/>
      <c r="V362" s="10"/>
      <c r="W362" s="10"/>
      <c r="X362" s="10"/>
      <c r="Y362" s="10"/>
      <c r="Z362" s="8"/>
      <c r="AB362" s="10"/>
      <c r="AC362" s="10"/>
      <c r="AE362" s="10"/>
      <c r="AF362"/>
      <c r="AJ362" s="10"/>
      <c r="AR362"/>
      <c r="AV362" s="10"/>
      <c r="BA362"/>
      <c r="BG362"/>
      <c r="BH362" s="10"/>
      <c r="BO362" s="10"/>
      <c r="CH362"/>
      <c r="CI362"/>
      <c r="CJ362"/>
      <c r="CK362"/>
    </row>
    <row r="363" spans="21:89">
      <c r="U363" s="10"/>
      <c r="V363" s="10"/>
      <c r="W363" s="10"/>
      <c r="X363" s="10"/>
      <c r="Y363" s="10"/>
      <c r="Z363" s="8"/>
      <c r="AB363" s="10"/>
      <c r="AC363" s="10"/>
      <c r="AE363" s="10"/>
      <c r="AF363"/>
      <c r="AJ363" s="10"/>
      <c r="AR363"/>
      <c r="AV363" s="10"/>
      <c r="BA363"/>
      <c r="BG363"/>
      <c r="BH363" s="10"/>
      <c r="BO363" s="10"/>
      <c r="CH363"/>
      <c r="CI363"/>
      <c r="CJ363"/>
      <c r="CK363"/>
    </row>
    <row r="364" spans="21:89">
      <c r="U364" s="10"/>
      <c r="V364" s="10"/>
      <c r="W364" s="10"/>
      <c r="X364" s="10"/>
      <c r="Y364" s="10"/>
      <c r="Z364" s="8"/>
      <c r="AB364" s="10"/>
      <c r="AC364" s="10"/>
      <c r="AE364" s="10"/>
      <c r="AF364"/>
      <c r="AJ364" s="10"/>
      <c r="AR364"/>
      <c r="AV364" s="10"/>
      <c r="BA364"/>
      <c r="BG364"/>
      <c r="BH364" s="10"/>
      <c r="BO364" s="10"/>
      <c r="CH364"/>
      <c r="CI364"/>
      <c r="CJ364"/>
      <c r="CK364"/>
    </row>
    <row r="365" spans="21:89">
      <c r="U365" s="10"/>
      <c r="V365" s="10"/>
      <c r="W365" s="10"/>
      <c r="X365" s="10"/>
      <c r="Y365" s="10"/>
      <c r="Z365" s="8"/>
      <c r="AB365" s="10"/>
      <c r="AC365" s="10"/>
      <c r="AE365" s="10"/>
      <c r="AF365"/>
      <c r="AJ365" s="10"/>
      <c r="AR365"/>
      <c r="AV365" s="10"/>
      <c r="BA365"/>
      <c r="BG365"/>
      <c r="BH365" s="10"/>
      <c r="BO365" s="10"/>
      <c r="CH365"/>
      <c r="CI365"/>
      <c r="CJ365"/>
      <c r="CK365"/>
    </row>
    <row r="366" spans="21:89">
      <c r="U366" s="10"/>
      <c r="V366" s="10"/>
      <c r="W366" s="10"/>
      <c r="X366" s="10"/>
      <c r="Y366" s="10"/>
      <c r="Z366" s="8"/>
      <c r="AB366" s="10"/>
      <c r="AC366" s="10"/>
      <c r="AE366" s="10"/>
      <c r="AF366"/>
      <c r="AJ366" s="10"/>
      <c r="AR366"/>
      <c r="AV366" s="10"/>
      <c r="BA366"/>
      <c r="BG366"/>
      <c r="BH366" s="10"/>
      <c r="BO366" s="10"/>
      <c r="CH366"/>
      <c r="CI366"/>
      <c r="CJ366"/>
      <c r="CK366"/>
    </row>
    <row r="367" spans="21:89">
      <c r="U367" s="10"/>
      <c r="V367" s="10"/>
      <c r="W367" s="10"/>
      <c r="X367" s="10"/>
      <c r="Y367" s="10"/>
      <c r="Z367" s="8"/>
      <c r="AB367" s="10"/>
      <c r="AC367" s="10"/>
      <c r="AE367" s="10"/>
      <c r="AF367"/>
      <c r="AJ367" s="10"/>
      <c r="AR367"/>
      <c r="AV367" s="10"/>
      <c r="BA367"/>
      <c r="BG367"/>
      <c r="BH367" s="10"/>
      <c r="BO367" s="10"/>
      <c r="CH367"/>
      <c r="CI367"/>
      <c r="CJ367"/>
      <c r="CK367"/>
    </row>
    <row r="368" spans="21:89">
      <c r="U368" s="10"/>
      <c r="V368" s="10"/>
      <c r="W368" s="10"/>
      <c r="X368" s="10"/>
      <c r="Y368" s="10"/>
      <c r="Z368" s="8"/>
      <c r="AB368" s="10"/>
      <c r="AC368" s="10"/>
      <c r="AE368" s="10"/>
      <c r="AF368"/>
      <c r="AJ368" s="10"/>
      <c r="AR368"/>
      <c r="AV368" s="10"/>
      <c r="BA368"/>
      <c r="BG368"/>
      <c r="BH368" s="10"/>
      <c r="BO368" s="10"/>
      <c r="CH368"/>
      <c r="CI368"/>
      <c r="CJ368"/>
      <c r="CK368"/>
    </row>
    <row r="369" spans="21:89">
      <c r="U369" s="10"/>
      <c r="V369" s="10"/>
      <c r="W369" s="10"/>
      <c r="X369" s="10"/>
      <c r="Y369" s="10"/>
      <c r="Z369" s="8"/>
      <c r="AB369" s="10"/>
      <c r="AC369" s="10"/>
      <c r="AE369" s="10"/>
      <c r="AF369"/>
      <c r="AJ369" s="10"/>
      <c r="AR369"/>
      <c r="AV369" s="10"/>
      <c r="BA369"/>
      <c r="BG369"/>
      <c r="BH369" s="10"/>
      <c r="BO369" s="10"/>
      <c r="CH369"/>
      <c r="CI369"/>
      <c r="CJ369"/>
      <c r="CK369"/>
    </row>
    <row r="370" spans="21:89">
      <c r="U370" s="10"/>
      <c r="V370" s="10"/>
      <c r="W370" s="10"/>
      <c r="X370" s="10"/>
      <c r="Y370" s="10"/>
      <c r="Z370" s="8"/>
      <c r="AB370" s="10"/>
      <c r="AC370" s="10"/>
      <c r="AE370" s="10"/>
      <c r="AF370"/>
      <c r="AJ370" s="10"/>
      <c r="AR370"/>
      <c r="AV370" s="10"/>
      <c r="BA370"/>
      <c r="BG370"/>
      <c r="BH370" s="10"/>
      <c r="BO370" s="10"/>
      <c r="CH370"/>
      <c r="CI370"/>
      <c r="CJ370"/>
      <c r="CK370"/>
    </row>
    <row r="371" spans="21:89">
      <c r="U371" s="10"/>
      <c r="V371" s="10"/>
      <c r="W371" s="10"/>
      <c r="X371" s="10"/>
      <c r="Y371" s="10"/>
      <c r="Z371" s="8"/>
      <c r="AB371" s="10"/>
      <c r="AC371" s="10"/>
      <c r="AE371" s="10"/>
      <c r="AF371"/>
      <c r="AJ371" s="10"/>
      <c r="AR371"/>
      <c r="AV371" s="10"/>
      <c r="BA371"/>
      <c r="BG371"/>
      <c r="BH371" s="10"/>
      <c r="BO371" s="10"/>
      <c r="CH371"/>
      <c r="CI371"/>
      <c r="CJ371"/>
      <c r="CK371"/>
    </row>
    <row r="372" spans="21:89">
      <c r="U372" s="10"/>
      <c r="V372" s="10"/>
      <c r="W372" s="10"/>
      <c r="X372" s="10"/>
      <c r="Y372" s="10"/>
      <c r="Z372" s="8"/>
      <c r="AB372" s="10"/>
      <c r="AC372" s="10"/>
      <c r="AE372" s="10"/>
      <c r="AF372"/>
      <c r="AJ372" s="10"/>
      <c r="AR372"/>
      <c r="AV372" s="10"/>
      <c r="BA372"/>
      <c r="BG372"/>
      <c r="BH372" s="10"/>
      <c r="BO372" s="10"/>
      <c r="CH372"/>
      <c r="CI372"/>
      <c r="CJ372"/>
      <c r="CK372"/>
    </row>
    <row r="373" spans="21:89">
      <c r="U373" s="10"/>
      <c r="V373" s="10"/>
      <c r="W373" s="10"/>
      <c r="X373" s="10"/>
      <c r="Y373" s="10"/>
      <c r="Z373" s="8"/>
      <c r="AB373" s="10"/>
      <c r="AC373" s="10"/>
      <c r="AE373" s="10"/>
      <c r="AF373"/>
      <c r="AJ373" s="10"/>
      <c r="AR373"/>
      <c r="AV373" s="10"/>
      <c r="BA373"/>
      <c r="BG373"/>
      <c r="BH373" s="10"/>
      <c r="BO373" s="10"/>
      <c r="CH373"/>
      <c r="CI373"/>
      <c r="CJ373"/>
      <c r="CK373"/>
    </row>
    <row r="374" spans="21:89">
      <c r="U374" s="10"/>
      <c r="V374" s="10"/>
      <c r="W374" s="10"/>
      <c r="X374" s="10"/>
      <c r="Y374" s="10"/>
      <c r="Z374" s="8"/>
      <c r="AB374" s="10"/>
      <c r="AC374" s="10"/>
      <c r="AE374" s="10"/>
      <c r="AF374"/>
      <c r="AJ374" s="10"/>
      <c r="AR374"/>
      <c r="AV374" s="10"/>
      <c r="BA374"/>
      <c r="BG374"/>
      <c r="BH374" s="10"/>
      <c r="BO374" s="10"/>
      <c r="CH374"/>
      <c r="CI374"/>
      <c r="CJ374"/>
      <c r="CK374"/>
    </row>
    <row r="375" spans="21:89">
      <c r="U375" s="10"/>
      <c r="V375" s="10"/>
      <c r="W375" s="10"/>
      <c r="X375" s="10"/>
      <c r="Y375" s="10"/>
      <c r="Z375" s="8"/>
      <c r="AB375" s="10"/>
      <c r="AC375" s="10"/>
      <c r="AE375" s="10"/>
      <c r="AF375"/>
      <c r="AJ375" s="10"/>
      <c r="AR375"/>
      <c r="AV375" s="10"/>
      <c r="BA375"/>
      <c r="BG375"/>
      <c r="BH375" s="10"/>
      <c r="BO375" s="10"/>
      <c r="CH375"/>
      <c r="CI375"/>
      <c r="CJ375"/>
      <c r="CK375"/>
    </row>
    <row r="376" spans="21:89">
      <c r="U376" s="10"/>
      <c r="V376" s="10"/>
      <c r="W376" s="10"/>
      <c r="X376" s="10"/>
      <c r="Y376" s="10"/>
      <c r="Z376" s="8"/>
      <c r="AB376" s="10"/>
      <c r="AC376" s="10"/>
      <c r="AE376" s="10"/>
      <c r="AF376"/>
      <c r="AJ376" s="10"/>
      <c r="AR376"/>
      <c r="AV376" s="10"/>
      <c r="BA376"/>
      <c r="BG376"/>
      <c r="BH376" s="10"/>
      <c r="BO376" s="10"/>
      <c r="CH376"/>
      <c r="CI376"/>
      <c r="CJ376"/>
      <c r="CK376"/>
    </row>
    <row r="377" spans="21:89">
      <c r="U377" s="10"/>
      <c r="V377" s="10"/>
      <c r="W377" s="10"/>
      <c r="X377" s="10"/>
      <c r="Y377" s="10"/>
      <c r="Z377" s="8"/>
      <c r="AB377" s="10"/>
      <c r="AC377" s="10"/>
      <c r="AE377" s="10"/>
      <c r="AF377"/>
      <c r="AJ377" s="10"/>
      <c r="AR377"/>
      <c r="AV377" s="10"/>
      <c r="BA377"/>
      <c r="BG377"/>
      <c r="BH377" s="10"/>
      <c r="BO377" s="10"/>
      <c r="CH377"/>
      <c r="CI377"/>
      <c r="CJ377"/>
      <c r="CK377"/>
    </row>
    <row r="378" spans="21:89">
      <c r="U378" s="10"/>
      <c r="V378" s="10"/>
      <c r="W378" s="10"/>
      <c r="X378" s="10"/>
      <c r="Y378" s="10"/>
      <c r="Z378" s="8"/>
      <c r="AB378" s="10"/>
      <c r="AC378" s="10"/>
      <c r="AE378" s="10"/>
      <c r="AF378"/>
      <c r="AJ378" s="10"/>
      <c r="AR378"/>
      <c r="AV378" s="10"/>
      <c r="BA378"/>
      <c r="BG378"/>
      <c r="BH378" s="10"/>
      <c r="BO378" s="10"/>
      <c r="CH378"/>
      <c r="CI378"/>
      <c r="CJ378"/>
      <c r="CK378"/>
    </row>
    <row r="379" spans="21:89">
      <c r="U379" s="10"/>
      <c r="V379" s="10"/>
      <c r="W379" s="10"/>
      <c r="X379" s="10"/>
      <c r="Y379" s="10"/>
      <c r="Z379" s="8"/>
      <c r="AB379" s="10"/>
      <c r="AC379" s="10"/>
      <c r="AE379" s="10"/>
      <c r="AF379"/>
      <c r="AJ379" s="10"/>
      <c r="AR379"/>
      <c r="AV379" s="10"/>
      <c r="BA379"/>
      <c r="BG379"/>
      <c r="BH379" s="10"/>
      <c r="BO379" s="10"/>
      <c r="CH379"/>
      <c r="CI379"/>
      <c r="CJ379"/>
      <c r="CK379"/>
    </row>
    <row r="380" spans="21:89">
      <c r="U380" s="10"/>
      <c r="V380" s="10"/>
      <c r="W380" s="10"/>
      <c r="X380" s="10"/>
      <c r="Y380" s="10"/>
      <c r="Z380" s="8"/>
      <c r="AB380" s="10"/>
      <c r="AC380" s="10"/>
      <c r="AE380" s="10"/>
      <c r="AF380"/>
      <c r="AJ380" s="10"/>
      <c r="AR380"/>
      <c r="AV380" s="10"/>
      <c r="BA380"/>
      <c r="BG380"/>
      <c r="BH380" s="10"/>
      <c r="BO380" s="10"/>
      <c r="CH380"/>
      <c r="CI380"/>
      <c r="CJ380"/>
      <c r="CK380"/>
    </row>
    <row r="381" spans="21:89">
      <c r="U381" s="10"/>
      <c r="V381" s="10"/>
      <c r="W381" s="10"/>
      <c r="X381" s="10"/>
      <c r="Y381" s="10"/>
      <c r="Z381" s="8"/>
      <c r="AB381" s="10"/>
      <c r="AC381" s="10"/>
      <c r="AE381" s="10"/>
      <c r="AF381"/>
      <c r="AJ381" s="10"/>
      <c r="AR381"/>
      <c r="AV381" s="10"/>
      <c r="BA381"/>
      <c r="BG381"/>
      <c r="BH381" s="10"/>
      <c r="BO381" s="10"/>
      <c r="CH381"/>
      <c r="CI381"/>
      <c r="CJ381"/>
      <c r="CK381"/>
    </row>
    <row r="382" spans="21:89">
      <c r="U382" s="10"/>
      <c r="V382" s="10"/>
      <c r="W382" s="10"/>
      <c r="X382" s="10"/>
      <c r="Y382" s="10"/>
      <c r="Z382" s="8"/>
      <c r="AB382" s="10"/>
      <c r="AC382" s="10"/>
      <c r="AE382" s="10"/>
      <c r="AF382"/>
      <c r="AJ382" s="10"/>
      <c r="AR382"/>
      <c r="AV382" s="10"/>
      <c r="BA382"/>
      <c r="BG382"/>
      <c r="BH382" s="10"/>
      <c r="BO382" s="10"/>
      <c r="CH382"/>
      <c r="CI382"/>
      <c r="CJ382"/>
      <c r="CK382"/>
    </row>
    <row r="383" spans="21:89">
      <c r="U383" s="10"/>
      <c r="V383" s="10"/>
      <c r="W383" s="10"/>
      <c r="X383" s="10"/>
      <c r="Y383" s="10"/>
      <c r="Z383" s="8"/>
      <c r="AB383" s="10"/>
      <c r="AC383" s="10"/>
      <c r="AE383" s="10"/>
      <c r="AF383"/>
      <c r="AJ383" s="10"/>
      <c r="AR383"/>
      <c r="AV383" s="10"/>
      <c r="BA383"/>
      <c r="BG383"/>
      <c r="BH383" s="10"/>
      <c r="BO383" s="10"/>
      <c r="CH383"/>
      <c r="CI383"/>
      <c r="CJ383"/>
      <c r="CK383"/>
    </row>
    <row r="384" spans="21:89">
      <c r="U384" s="10"/>
      <c r="V384" s="10"/>
      <c r="W384" s="10"/>
      <c r="X384" s="10"/>
      <c r="Y384" s="10"/>
      <c r="Z384" s="8"/>
      <c r="AB384" s="10"/>
      <c r="AC384" s="10"/>
      <c r="AE384" s="10"/>
      <c r="AF384"/>
      <c r="AJ384" s="10"/>
      <c r="AR384"/>
      <c r="AV384" s="10"/>
      <c r="BA384"/>
      <c r="BG384"/>
      <c r="BH384" s="10"/>
      <c r="BO384" s="10"/>
      <c r="CH384"/>
      <c r="CI384"/>
      <c r="CJ384"/>
      <c r="CK384"/>
    </row>
    <row r="385" spans="21:89">
      <c r="U385" s="10"/>
      <c r="V385" s="10"/>
      <c r="W385" s="10"/>
      <c r="X385" s="10"/>
      <c r="Y385" s="10"/>
      <c r="Z385" s="8"/>
      <c r="AB385" s="10"/>
      <c r="AC385" s="10"/>
      <c r="AE385" s="10"/>
      <c r="AF385"/>
      <c r="AJ385" s="10"/>
      <c r="AR385"/>
      <c r="AV385" s="10"/>
      <c r="BA385"/>
      <c r="BG385"/>
      <c r="BH385" s="10"/>
      <c r="BO385" s="10"/>
      <c r="CH385"/>
      <c r="CI385"/>
      <c r="CJ385"/>
      <c r="CK385"/>
    </row>
    <row r="386" spans="21:89">
      <c r="U386" s="10"/>
      <c r="V386" s="10"/>
      <c r="W386" s="10"/>
      <c r="X386" s="10"/>
      <c r="Y386" s="10"/>
      <c r="Z386" s="8"/>
      <c r="AB386" s="10"/>
      <c r="AC386" s="10"/>
      <c r="AE386" s="10"/>
      <c r="AF386"/>
      <c r="AJ386" s="10"/>
      <c r="AR386"/>
      <c r="AV386" s="10"/>
      <c r="BA386"/>
      <c r="BG386"/>
      <c r="BH386" s="10"/>
      <c r="BO386" s="10"/>
      <c r="CH386"/>
      <c r="CI386"/>
      <c r="CJ386"/>
      <c r="CK386"/>
    </row>
    <row r="387" spans="21:89">
      <c r="U387" s="10"/>
      <c r="V387" s="10"/>
      <c r="W387" s="10"/>
      <c r="X387" s="10"/>
      <c r="Y387" s="10"/>
      <c r="Z387" s="8"/>
      <c r="AB387" s="10"/>
      <c r="AC387" s="10"/>
      <c r="AE387" s="10"/>
      <c r="AF387"/>
      <c r="AJ387" s="10"/>
      <c r="AR387"/>
      <c r="AV387" s="10"/>
      <c r="BA387"/>
      <c r="BG387"/>
      <c r="BH387" s="10"/>
      <c r="BO387" s="10"/>
      <c r="CH387"/>
      <c r="CI387"/>
      <c r="CJ387"/>
      <c r="CK387"/>
    </row>
    <row r="388" spans="21:89">
      <c r="U388" s="10"/>
      <c r="V388" s="10"/>
      <c r="W388" s="10"/>
      <c r="X388" s="10"/>
      <c r="Y388" s="10"/>
      <c r="Z388" s="8"/>
      <c r="AB388" s="10"/>
      <c r="AC388" s="10"/>
      <c r="AE388" s="10"/>
      <c r="AF388"/>
      <c r="AJ388" s="10"/>
      <c r="AR388"/>
      <c r="AV388" s="10"/>
      <c r="BA388"/>
      <c r="BG388"/>
      <c r="BH388" s="10"/>
      <c r="BO388" s="10"/>
      <c r="CH388"/>
      <c r="CI388"/>
      <c r="CJ388"/>
      <c r="CK388"/>
    </row>
    <row r="389" spans="21:89">
      <c r="U389" s="10"/>
      <c r="V389" s="10"/>
      <c r="W389" s="10"/>
      <c r="X389" s="10"/>
      <c r="Y389" s="10"/>
      <c r="Z389" s="8"/>
      <c r="AB389" s="10"/>
      <c r="AC389" s="10"/>
      <c r="AE389" s="10"/>
      <c r="AF389"/>
      <c r="AJ389" s="10"/>
      <c r="AR389"/>
      <c r="AV389" s="10"/>
      <c r="BA389"/>
      <c r="BG389"/>
      <c r="BH389" s="10"/>
      <c r="BO389" s="10"/>
      <c r="CH389"/>
      <c r="CI389"/>
      <c r="CJ389"/>
      <c r="CK389"/>
    </row>
    <row r="390" spans="21:89">
      <c r="U390" s="10"/>
      <c r="V390" s="10"/>
      <c r="W390" s="10"/>
      <c r="X390" s="10"/>
      <c r="Y390" s="10"/>
      <c r="Z390" s="8"/>
      <c r="AB390" s="10"/>
      <c r="AC390" s="10"/>
      <c r="AE390" s="10"/>
      <c r="AF390"/>
      <c r="AJ390" s="10"/>
      <c r="AR390"/>
      <c r="AV390" s="10"/>
      <c r="BA390"/>
      <c r="BG390"/>
      <c r="BH390" s="10"/>
      <c r="BO390" s="10"/>
      <c r="CH390"/>
      <c r="CI390"/>
      <c r="CJ390"/>
      <c r="CK390"/>
    </row>
    <row r="391" spans="21:89">
      <c r="U391" s="10"/>
      <c r="V391" s="10"/>
      <c r="W391" s="10"/>
      <c r="X391" s="10"/>
      <c r="Y391" s="10"/>
      <c r="Z391" s="8"/>
      <c r="AB391" s="10"/>
      <c r="AC391" s="10"/>
      <c r="AE391" s="10"/>
      <c r="AF391"/>
      <c r="AJ391" s="10"/>
      <c r="AR391"/>
      <c r="AV391" s="10"/>
      <c r="BA391"/>
      <c r="BG391"/>
      <c r="BH391" s="10"/>
      <c r="BO391" s="10"/>
      <c r="CH391"/>
      <c r="CI391"/>
      <c r="CJ391"/>
      <c r="CK391"/>
    </row>
    <row r="392" spans="21:89">
      <c r="U392" s="10"/>
      <c r="V392" s="10"/>
      <c r="W392" s="10"/>
      <c r="X392" s="10"/>
      <c r="Y392" s="10"/>
      <c r="Z392" s="8"/>
      <c r="AB392" s="10"/>
      <c r="AC392" s="10"/>
      <c r="AE392" s="10"/>
      <c r="AF392"/>
      <c r="AJ392" s="10"/>
      <c r="AR392"/>
      <c r="AV392" s="10"/>
      <c r="BA392"/>
      <c r="BG392"/>
      <c r="BH392" s="10"/>
      <c r="BO392" s="10"/>
      <c r="CH392"/>
      <c r="CI392"/>
      <c r="CJ392"/>
      <c r="CK392"/>
    </row>
    <row r="393" spans="21:89">
      <c r="U393" s="10"/>
      <c r="V393" s="10"/>
      <c r="W393" s="10"/>
      <c r="X393" s="10"/>
      <c r="Y393" s="10"/>
      <c r="Z393" s="8"/>
      <c r="AB393" s="10"/>
      <c r="AC393" s="10"/>
      <c r="AE393" s="10"/>
      <c r="AF393"/>
      <c r="AJ393" s="10"/>
      <c r="AR393"/>
      <c r="AV393" s="10"/>
      <c r="BA393"/>
      <c r="BG393"/>
      <c r="BH393" s="10"/>
      <c r="BO393" s="10"/>
      <c r="CH393"/>
      <c r="CI393"/>
      <c r="CJ393"/>
      <c r="CK393"/>
    </row>
    <row r="394" spans="21:89">
      <c r="U394" s="10"/>
      <c r="V394" s="10"/>
      <c r="W394" s="10"/>
      <c r="X394" s="10"/>
      <c r="Y394" s="10"/>
      <c r="Z394" s="8"/>
      <c r="AB394" s="10"/>
      <c r="AC394" s="10"/>
      <c r="AE394" s="10"/>
      <c r="AF394"/>
      <c r="AJ394" s="10"/>
      <c r="AR394"/>
      <c r="AV394" s="10"/>
      <c r="BA394"/>
      <c r="BG394"/>
      <c r="BH394" s="10"/>
      <c r="BO394" s="10"/>
      <c r="CH394"/>
      <c r="CI394"/>
      <c r="CJ394"/>
      <c r="CK394"/>
    </row>
    <row r="395" spans="21:89">
      <c r="U395" s="10"/>
      <c r="V395" s="10"/>
      <c r="W395" s="10"/>
      <c r="X395" s="10"/>
      <c r="Y395" s="10"/>
      <c r="Z395" s="8"/>
      <c r="AB395" s="10"/>
      <c r="AC395" s="10"/>
      <c r="AE395" s="10"/>
      <c r="AF395"/>
      <c r="AJ395" s="10"/>
      <c r="AR395"/>
      <c r="AV395" s="10"/>
      <c r="BA395"/>
      <c r="BG395"/>
      <c r="BH395" s="10"/>
      <c r="BO395" s="10"/>
      <c r="CH395"/>
      <c r="CI395"/>
      <c r="CJ395"/>
      <c r="CK395"/>
    </row>
    <row r="396" spans="21:89">
      <c r="U396" s="10"/>
      <c r="V396" s="10"/>
      <c r="W396" s="10"/>
      <c r="X396" s="10"/>
      <c r="Y396" s="10"/>
      <c r="Z396" s="8"/>
      <c r="AB396" s="10"/>
      <c r="AC396" s="10"/>
      <c r="AE396" s="10"/>
      <c r="AF396"/>
      <c r="AJ396" s="10"/>
      <c r="AR396"/>
      <c r="AV396" s="10"/>
      <c r="BA396"/>
      <c r="BG396"/>
      <c r="BH396" s="10"/>
      <c r="BO396" s="10"/>
      <c r="CH396"/>
      <c r="CI396"/>
      <c r="CJ396"/>
      <c r="CK396"/>
    </row>
    <row r="397" spans="21:89">
      <c r="U397" s="10"/>
      <c r="V397" s="10"/>
      <c r="W397" s="10"/>
      <c r="X397" s="10"/>
      <c r="Y397" s="10"/>
      <c r="Z397" s="8"/>
      <c r="AB397" s="10"/>
      <c r="AC397" s="10"/>
      <c r="AE397" s="10"/>
      <c r="AF397"/>
      <c r="AJ397" s="10"/>
      <c r="AR397"/>
      <c r="AV397" s="10"/>
      <c r="BA397"/>
      <c r="BG397"/>
      <c r="BH397" s="10"/>
      <c r="BO397" s="10"/>
      <c r="CH397"/>
      <c r="CI397"/>
      <c r="CJ397"/>
      <c r="CK397"/>
    </row>
    <row r="398" spans="21:89">
      <c r="U398" s="10"/>
      <c r="V398" s="10"/>
      <c r="W398" s="10"/>
      <c r="X398" s="10"/>
      <c r="Y398" s="10"/>
      <c r="Z398" s="8"/>
      <c r="AB398" s="10"/>
      <c r="AC398" s="10"/>
      <c r="AE398" s="10"/>
      <c r="AF398"/>
      <c r="AJ398" s="10"/>
      <c r="AR398"/>
      <c r="AV398" s="10"/>
      <c r="BA398"/>
      <c r="BG398"/>
      <c r="BH398" s="10"/>
      <c r="BO398" s="10"/>
      <c r="CH398"/>
      <c r="CI398"/>
      <c r="CJ398"/>
      <c r="CK398"/>
    </row>
    <row r="399" spans="21:89">
      <c r="U399" s="10"/>
      <c r="V399" s="10"/>
      <c r="W399" s="10"/>
      <c r="X399" s="10"/>
      <c r="Y399" s="10"/>
      <c r="Z399" s="8"/>
      <c r="AB399" s="10"/>
      <c r="AC399" s="10"/>
      <c r="AE399" s="10"/>
      <c r="AF399"/>
      <c r="AJ399" s="10"/>
      <c r="AR399"/>
      <c r="AV399" s="10"/>
      <c r="BA399"/>
      <c r="BG399"/>
      <c r="BH399" s="10"/>
      <c r="BO399" s="10"/>
      <c r="CH399"/>
      <c r="CI399"/>
      <c r="CJ399"/>
      <c r="CK399"/>
    </row>
    <row r="400" spans="21:89">
      <c r="U400" s="10"/>
      <c r="V400" s="10"/>
      <c r="W400" s="10"/>
      <c r="X400" s="10"/>
      <c r="Y400" s="10"/>
      <c r="Z400" s="8"/>
      <c r="AB400" s="10"/>
      <c r="AC400" s="10"/>
      <c r="AE400" s="10"/>
      <c r="AF400"/>
      <c r="AJ400" s="10"/>
      <c r="AR400"/>
      <c r="AV400" s="10"/>
      <c r="BA400"/>
      <c r="BG400"/>
      <c r="BH400" s="10"/>
      <c r="BO400" s="10"/>
      <c r="CH400"/>
      <c r="CI400"/>
      <c r="CJ400"/>
      <c r="CK400"/>
    </row>
    <row r="401" spans="21:89">
      <c r="U401" s="10"/>
      <c r="V401" s="10"/>
      <c r="W401" s="10"/>
      <c r="X401" s="10"/>
      <c r="Y401" s="10"/>
      <c r="Z401" s="8"/>
      <c r="AB401" s="10"/>
      <c r="AC401" s="10"/>
      <c r="AE401" s="10"/>
      <c r="AF401"/>
      <c r="AJ401" s="10"/>
      <c r="AR401"/>
      <c r="AV401" s="10"/>
      <c r="BA401"/>
      <c r="BG401"/>
      <c r="BH401" s="10"/>
      <c r="BO401" s="10"/>
      <c r="CH401"/>
      <c r="CI401"/>
      <c r="CJ401"/>
      <c r="CK401"/>
    </row>
    <row r="402" spans="21:89">
      <c r="U402" s="10"/>
      <c r="V402" s="10"/>
      <c r="W402" s="10"/>
      <c r="X402" s="10"/>
      <c r="Y402" s="10"/>
      <c r="Z402" s="8"/>
      <c r="AB402" s="10"/>
      <c r="AC402" s="10"/>
      <c r="AE402" s="10"/>
      <c r="AF402"/>
      <c r="AJ402" s="10"/>
      <c r="AR402"/>
      <c r="AV402" s="10"/>
      <c r="BA402"/>
      <c r="BG402"/>
      <c r="BH402" s="10"/>
      <c r="BO402" s="10"/>
      <c r="CH402"/>
      <c r="CI402"/>
      <c r="CJ402"/>
      <c r="CK402"/>
    </row>
    <row r="403" spans="21:89">
      <c r="U403" s="10"/>
      <c r="V403" s="10"/>
      <c r="W403" s="10"/>
      <c r="X403" s="10"/>
      <c r="Y403" s="10"/>
      <c r="Z403" s="8"/>
      <c r="AB403" s="10"/>
      <c r="AC403" s="10"/>
      <c r="AE403" s="10"/>
      <c r="AF403"/>
      <c r="AJ403" s="10"/>
      <c r="AR403"/>
      <c r="AV403" s="10"/>
      <c r="BA403"/>
      <c r="BG403"/>
      <c r="BH403" s="10"/>
      <c r="BO403" s="10"/>
      <c r="CH403"/>
      <c r="CI403"/>
      <c r="CJ403"/>
      <c r="CK403"/>
    </row>
    <row r="404" spans="21:89">
      <c r="U404" s="10"/>
      <c r="V404" s="10"/>
      <c r="W404" s="10"/>
      <c r="X404" s="10"/>
      <c r="Y404" s="10"/>
      <c r="Z404" s="8"/>
      <c r="AB404" s="10"/>
      <c r="AC404" s="10"/>
      <c r="AE404" s="10"/>
      <c r="AF404"/>
      <c r="AJ404" s="10"/>
      <c r="AR404"/>
      <c r="AV404" s="10"/>
      <c r="BA404"/>
      <c r="BG404"/>
      <c r="BH404" s="10"/>
      <c r="BO404" s="10"/>
      <c r="CH404"/>
      <c r="CI404"/>
      <c r="CJ404"/>
      <c r="CK404"/>
    </row>
    <row r="405" spans="21:89">
      <c r="U405" s="8"/>
      <c r="V405" s="10"/>
      <c r="W405" s="10"/>
      <c r="X405" s="10"/>
      <c r="Y405" s="10"/>
    </row>
    <row r="406" spans="21:89">
      <c r="U406" s="8"/>
      <c r="V406" s="10"/>
      <c r="W406" s="10"/>
      <c r="X406" s="10"/>
      <c r="Y406" s="10"/>
    </row>
    <row r="407" spans="21:89">
      <c r="U407" s="8"/>
      <c r="V407" s="10"/>
      <c r="W407" s="10"/>
      <c r="X407" s="10"/>
      <c r="Y407" s="10"/>
    </row>
    <row r="408" spans="21:89">
      <c r="U408" s="8"/>
      <c r="V408" s="10"/>
      <c r="W408" s="10"/>
      <c r="X408" s="10"/>
      <c r="Y408" s="10"/>
    </row>
    <row r="409" spans="21:89">
      <c r="U409" s="8"/>
      <c r="V409" s="10"/>
      <c r="W409" s="10"/>
      <c r="X409" s="10"/>
      <c r="Y409" s="10"/>
    </row>
    <row r="410" spans="21:89">
      <c r="U410" s="8"/>
      <c r="V410" s="10"/>
      <c r="W410" s="10"/>
      <c r="X410" s="10"/>
      <c r="Y410" s="10"/>
    </row>
    <row r="411" spans="21:89">
      <c r="U411" s="8"/>
      <c r="V411" s="10"/>
      <c r="W411" s="10"/>
      <c r="X411" s="10"/>
      <c r="Y411" s="10"/>
    </row>
    <row r="412" spans="21:89">
      <c r="U412" s="56"/>
      <c r="V412" s="57"/>
      <c r="W412" s="57"/>
      <c r="X412" s="57"/>
      <c r="Y412" s="57"/>
    </row>
  </sheetData>
  <mergeCells count="9">
    <mergeCell ref="BM2:BO2"/>
    <mergeCell ref="BQ2:DL2"/>
    <mergeCell ref="A12:A21"/>
    <mergeCell ref="C2:X2"/>
    <mergeCell ref="Z2:AE2"/>
    <mergeCell ref="AG2:AJ2"/>
    <mergeCell ref="AL2:AV2"/>
    <mergeCell ref="AX2:BH2"/>
    <mergeCell ref="BJ2:BK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38</vt:i4>
      </vt:variant>
    </vt:vector>
  </HeadingPairs>
  <TitlesOfParts>
    <vt:vector size="42" baseType="lpstr">
      <vt:lpstr>FILESTAT</vt:lpstr>
      <vt:lpstr>FILESTAT Summary</vt:lpstr>
      <vt:lpstr>Work Days</vt:lpstr>
      <vt:lpstr>Criteria</vt:lpstr>
      <vt:lpstr>bfy1988_</vt:lpstr>
      <vt:lpstr>bfy1989_</vt:lpstr>
      <vt:lpstr>bfy1990_</vt:lpstr>
      <vt:lpstr>bfy1991_</vt:lpstr>
      <vt:lpstr>bfy1992_</vt:lpstr>
      <vt:lpstr>bfy1993_</vt:lpstr>
      <vt:lpstr>bfy1994_</vt:lpstr>
      <vt:lpstr>bfy1995_</vt:lpstr>
      <vt:lpstr>bfy1996_</vt:lpstr>
      <vt:lpstr>bfy1997_</vt:lpstr>
      <vt:lpstr>bfy1998_</vt:lpstr>
      <vt:lpstr>bfy1999_</vt:lpstr>
      <vt:lpstr>bfy2000_</vt:lpstr>
      <vt:lpstr>bfy2001_</vt:lpstr>
      <vt:lpstr>bfy2002_</vt:lpstr>
      <vt:lpstr>bfy2003_</vt:lpstr>
      <vt:lpstr>bfy2004_</vt:lpstr>
      <vt:lpstr>bfy2005_</vt:lpstr>
      <vt:lpstr>bfy2006_</vt:lpstr>
      <vt:lpstr>bfy2007_</vt:lpstr>
      <vt:lpstr>bfy2008_</vt:lpstr>
      <vt:lpstr>bfy2009_</vt:lpstr>
      <vt:lpstr>bfy2010_</vt:lpstr>
      <vt:lpstr>bfy2011_</vt:lpstr>
      <vt:lpstr>bfy2012_</vt:lpstr>
      <vt:lpstr>bfy2013_</vt:lpstr>
      <vt:lpstr>bfy2014_</vt:lpstr>
      <vt:lpstr>bfy2015_</vt:lpstr>
      <vt:lpstr>bfy2016_</vt:lpstr>
      <vt:lpstr>bfy2017_</vt:lpstr>
      <vt:lpstr>bfy2018_</vt:lpstr>
      <vt:lpstr>bfy2019_</vt:lpstr>
      <vt:lpstr>bfy2020_</vt:lpstr>
      <vt:lpstr>Criteria</vt:lpstr>
      <vt:lpstr>Database</vt:lpstr>
      <vt:lpstr>'FILESTAT Summary'!Print_Area</vt:lpstr>
      <vt:lpstr>FILESTAT!Print_Titles</vt:lpstr>
      <vt:lpstr>'FILESTAT Summary'!Print_Titles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khansen</cp:lastModifiedBy>
  <cp:lastPrinted>2012-10-11T16:31:49Z</cp:lastPrinted>
  <dcterms:created xsi:type="dcterms:W3CDTF">2001-11-12T23:53:42Z</dcterms:created>
  <dcterms:modified xsi:type="dcterms:W3CDTF">2013-07-15T20:15:06Z</dcterms:modified>
</cp:coreProperties>
</file>